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omments7.xml" ContentType="application/vnd.openxmlformats-officedocument.spreadsheetml.comments+xml"/>
  <Override PartName="/xl/threadedComments/threadedComment6.xml" ContentType="application/vnd.ms-excel.threadedcomments+xml"/>
  <Override PartName="/xl/drawings/drawing12.xml" ContentType="application/vnd.openxmlformats-officedocument.drawing+xml"/>
  <Override PartName="/xl/drawings/drawing13.xml" ContentType="application/vnd.openxmlformats-officedocument.drawing+xml"/>
  <Override PartName="/xl/comments8.xml" ContentType="application/vnd.openxmlformats-officedocument.spreadsheetml.comments+xml"/>
  <Override PartName="/xl/drawings/drawing14.xml" ContentType="application/vnd.openxmlformats-officedocument.drawing+xml"/>
  <Override PartName="/xl/comments9.xml" ContentType="application/vnd.openxmlformats-officedocument.spreadsheetml.comments+xml"/>
  <Override PartName="/xl/threadedComments/threadedComment7.xml" ContentType="application/vnd.ms-excel.threadedcomments+xml"/>
  <Override PartName="/xl/drawings/drawing15.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comments11.xml" ContentType="application/vnd.openxmlformats-officedocument.spreadsheetml.comments+xml"/>
  <Override PartName="/xl/threadedComments/threadedComment9.xml" ContentType="application/vnd.ms-excel.threadedcomments+xml"/>
  <Override PartName="/xl/comments12.xml" ContentType="application/vnd.openxmlformats-officedocument.spreadsheetml.comments+xml"/>
  <Override PartName="/xl/threadedComments/threadedComment10.xml" ContentType="application/vnd.ms-excel.threadedcomments+xml"/>
  <Override PartName="/xl/comments13.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omments14.xml" ContentType="application/vnd.openxmlformats-officedocument.spreadsheetml.comments+xml"/>
  <Override PartName="/xl/drawings/drawing20.xml" ContentType="application/vnd.openxmlformats-officedocument.drawing+xml"/>
  <Override PartName="/xl/comments15.xml" ContentType="application/vnd.openxmlformats-officedocument.spreadsheetml.comments+xml"/>
  <Override PartName="/xl/threadedComments/threadedComment11.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6.xml" ContentType="application/vnd.openxmlformats-officedocument.spreadsheetml.comments+xml"/>
  <Override PartName="/xl/threadedComments/threadedComment12.xml" ContentType="application/vnd.ms-excel.threadedcomments+xml"/>
  <Override PartName="/xl/drawings/drawing21.xml" ContentType="application/vnd.openxmlformats-officedocument.drawing+xml"/>
  <Override PartName="/xl/comments17.xml" ContentType="application/vnd.openxmlformats-officedocument.spreadsheetml.comments+xml"/>
  <Override PartName="/xl/threadedComments/threadedComment13.xml" ContentType="application/vnd.ms-excel.threadedcomments+xml"/>
  <Override PartName="/xl/drawings/drawing22.xml" ContentType="application/vnd.openxmlformats-officedocument.drawing+xml"/>
  <Override PartName="/xl/comments18.xml" ContentType="application/vnd.openxmlformats-officedocument.spreadsheetml.comments+xml"/>
  <Override PartName="/xl/threadedComments/threadedComment14.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comments19.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6.xml" ContentType="application/vnd.openxmlformats-officedocument.drawing+xml"/>
  <Override PartName="/xl/comments20.xml" ContentType="application/vnd.openxmlformats-officedocument.spreadsheetml.comments+xml"/>
  <Override PartName="/xl/threadedComments/threadedComment15.xml" ContentType="application/vnd.ms-excel.threadedcomments+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omments21.xml" ContentType="application/vnd.openxmlformats-officedocument.spreadsheetml.comments+xml"/>
  <Override PartName="/xl/drawings/drawing33.xml" ContentType="application/vnd.openxmlformats-officedocument.drawing+xml"/>
  <Override PartName="/xl/comments22.xml" ContentType="application/vnd.openxmlformats-officedocument.spreadsheetml.comments+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Models\SATIMGE_Veda\"/>
    </mc:Choice>
  </mc:AlternateContent>
  <xr:revisionPtr revIDLastSave="0" documentId="13_ncr:1_{61BAC2EF-D520-4379-B7A9-EF4CCFA9C539}" xr6:coauthVersionLast="47" xr6:coauthVersionMax="47" xr10:uidLastSave="{00000000-0000-0000-0000-000000000000}"/>
  <bookViews>
    <workbookView xWindow="2235" yWindow="-19125" windowWidth="24630" windowHeight="15330" tabRatio="871" firstSheet="10" activeTab="11" xr2:uid="{B369D8D5-2CD0-4D58-BA7A-A8B00FB1933E}"/>
  </bookViews>
  <sheets>
    <sheet name="Index" sheetId="102" r:id="rId1"/>
    <sheet name="Assumptions" sheetId="126" r:id="rId2"/>
    <sheet name="Processes" sheetId="76" r:id="rId3"/>
    <sheet name="Commodities" sheetId="77" r:id="rId4"/>
    <sheet name="tables for reports" sheetId="125" r:id="rId5"/>
    <sheet name="ProcDataGenPre2012" sheetId="78" r:id="rId6"/>
    <sheet name="ProcDataGen2012On" sheetId="79" r:id="rId7"/>
    <sheet name="ProcDataRECostProfiles" sheetId="80" r:id="rId8"/>
    <sheet name="ProcDataTnD" sheetId="81" r:id="rId9"/>
    <sheet name="ProcDataExports" sheetId="100" r:id="rId10"/>
    <sheet name="ProcDataMines" sheetId="82" r:id="rId11"/>
    <sheet name="CommData" sheetId="83" r:id="rId12"/>
    <sheet name="ProcDataRM" sheetId="106" r:id="rId13"/>
    <sheet name="ProcDataAux" sheetId="113" r:id="rId14"/>
    <sheet name="ProcDataLowEAF" sheetId="110" r:id="rId15"/>
    <sheet name="ProcDataEndoRetire" sheetId="111" r:id="rId16"/>
    <sheet name="ProcDataRampRates" sheetId="112" r:id="rId17"/>
    <sheet name="JETPsep22" sheetId="127" r:id="rId18"/>
    <sheet name="EskomCoalPrice2019" sheetId="84" r:id="rId19"/>
    <sheet name="eskom production 2009-YTD" sheetId="85" r:id="rId20"/>
    <sheet name="eskom fuel 2009-YTD" sheetId="86" r:id="rId21"/>
    <sheet name="HistoricalDispatch" sheetId="87" r:id="rId22"/>
    <sheet name="DecomSchedule" sheetId="88" r:id="rId23"/>
    <sheet name="NERSA2017" sheetId="89" r:id="rId24"/>
    <sheet name="NERSA2018" sheetId="90" r:id="rId25"/>
    <sheet name="EskomCoalNERSACombined" sheetId="91" r:id="rId26"/>
    <sheet name="RMIPPPP" sheetId="118" r:id="rId27"/>
    <sheet name="REIPPP" sheetId="92" r:id="rId28"/>
    <sheet name="OnsitePV" sheetId="128" r:id="rId29"/>
    <sheet name="IRP Costs" sheetId="93" r:id="rId30"/>
    <sheet name="PumpStorage" sheetId="122" r:id="rId31"/>
    <sheet name="NBI_NREL_etc" sheetId="116" r:id="rId32"/>
    <sheet name="CoalIPP" sheetId="117" r:id="rId33"/>
    <sheet name="FGD costs" sheetId="115" r:id="rId34"/>
    <sheet name="PWR_Lab" sheetId="94" r:id="rId35"/>
    <sheet name="Lab.Calcs.Assumptions" sheetId="95" r:id="rId36"/>
    <sheet name="SAM" sheetId="96" r:id="rId37"/>
    <sheet name="SAM2019" sheetId="124" r:id="rId38"/>
    <sheet name="From SAM" sheetId="97" r:id="rId39"/>
    <sheet name="ElecBY" sheetId="98" r:id="rId40"/>
    <sheet name="Deflator" sheetId="99" r:id="rId41"/>
    <sheet name="ANSv2-692-REGIONS" sheetId="18" state="veryHidden" r:id="rId42"/>
    <sheet name="ANSv2-692-Commodities" sheetId="19" state="veryHidden" r:id="rId43"/>
    <sheet name="ANSv2-692-Processes" sheetId="20" state="veryHidden" r:id="rId44"/>
    <sheet name="ANSv2-692-Constraints" sheetId="23" state="veryHidden" r:id="rId45"/>
    <sheet name="ANSv2-692-CommData" sheetId="21" state="veryHidden" r:id="rId46"/>
    <sheet name="ANSv2-692-ProcData" sheetId="25" state="veryHidden" r:id="rId47"/>
    <sheet name="ANSv2-692-ConstrData" sheetId="24" state="veryHidden" r:id="rId48"/>
    <sheet name="ANSv2-692-ITEMS" sheetId="10" state="veryHidden" r:id="rId49"/>
    <sheet name="ANSv2-692-TS DATA" sheetId="12" state="veryHidden" r:id="rId50"/>
    <sheet name="ANSv2-692-TID DATA" sheetId="13" state="veryHidden" r:id="rId51"/>
    <sheet name="ANSv2-692-TS&amp;TID DATA" sheetId="14" state="veryHidden" r:id="rId52"/>
    <sheet name="ANSv2-692-TS TRADE" sheetId="15" state="veryHidden" r:id="rId53"/>
    <sheet name="ANSv2-692-TID TRADE" sheetId="16" state="veryHidden" r:id="rId54"/>
    <sheet name="ANSv2-692-TS&amp;TID TRADE" sheetId="17" state="veryHidden"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s>
  <definedNames>
    <definedName name="\I" localSheetId="40">#REF!</definedName>
    <definedName name="\I" localSheetId="28">#REF!</definedName>
    <definedName name="\I">#REF!</definedName>
    <definedName name="\P" localSheetId="40">#REF!</definedName>
    <definedName name="\P" localSheetId="28">#REF!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23" hidden="1">NERSA2017!$A$1:$O$131</definedName>
    <definedName name="_xlnm._FilterDatabase" localSheetId="24" hidden="1">NERSA2018!$A$1:$P$141</definedName>
    <definedName name="a" localSheetId="28">#REF!</definedName>
    <definedName name="a">#REF!</definedName>
    <definedName name="aa" localSheetId="40">'[2]Oil Consumption – barrels'!#REF!</definedName>
    <definedName name="aa" localSheetId="28">[3]PLAN!$A$1:$R$25</definedName>
    <definedName name="aa" localSheetId="30">[3]PLAN!$A$1:$R$25</definedName>
    <definedName name="aa">'[2]Oil Consumption – barrels'!#REF!</definedName>
    <definedName name="aaa">[4]EAF!#REF!</definedName>
    <definedName name="AGR" localSheetId="28">[5]Index!$C$7</definedName>
    <definedName name="AGR">[6]Index!$C$7</definedName>
    <definedName name="appendixD" localSheetId="28">#REF!</definedName>
    <definedName name="appendixD">#REF!</definedName>
    <definedName name="area">'[3]Burn Rates'!$A$3:$R$47</definedName>
    <definedName name="assump">[3]Assumptions!$A$1:$J$19</definedName>
    <definedName name="av">'[7]1999 PLAN'!$DJ$1</definedName>
    <definedName name="AVAIL" localSheetId="28">#REF!</definedName>
    <definedName name="AVAIL">#REF!</definedName>
    <definedName name="AVAILABILITY" localSheetId="28">#REF!</definedName>
    <definedName name="AVAILABILITY">#REF!</definedName>
    <definedName name="b" localSheetId="28">#REF!</definedName>
    <definedName name="b">#REF!</definedName>
    <definedName name="BB">[3]PLAN!$U$1:$AO$36</definedName>
    <definedName name="burn">'[7]1999 PLAN'!$S$1:$AG$21</definedName>
    <definedName name="CAP" localSheetId="28">#REF!</definedName>
    <definedName name="CAP">#REF!</definedName>
    <definedName name="capacity">'[7]1999 PLAN'!$CV$1:$DH$42</definedName>
    <definedName name="cc" localSheetId="28">#REF!</definedName>
    <definedName name="cc">#REF!</definedName>
    <definedName name="coal">'[7]1999 PLAN'!$AL$1:$AY$18</definedName>
    <definedName name="COAL_DEL">'[7]1999 PLAN'!$AL$1:$BB$38</definedName>
    <definedName name="COALBURN" localSheetId="28">#REF!</definedName>
    <definedName name="COALBURN">#REF!</definedName>
    <definedName name="cold">'[7]1999 PLAN'!$HL$1</definedName>
    <definedName name="COLDER">'[7]1999 PLAN'!$HL$1</definedName>
    <definedName name="COM" localSheetId="28">[5]Index!$C$8</definedName>
    <definedName name="COM">[6]Index!$C$8</definedName>
    <definedName name="dd" localSheetId="28">#REF!</definedName>
    <definedName name="dd">#REF!</definedName>
    <definedName name="DEL" localSheetId="28">#REF!</definedName>
    <definedName name="DEL">#REF!</definedName>
    <definedName name="del_page1" localSheetId="28">#REF!</definedName>
    <definedName name="del_page1">#REF!</definedName>
    <definedName name="DELIVERY">#REF!</definedName>
    <definedName name="DELIVERY_TOTAL">#REF!</definedName>
    <definedName name="Demand.Sectors" localSheetId="28">[8]Index!$D$2:$J$2</definedName>
    <definedName name="Demand.Sectors">[9]Index!$D$2:$J$2</definedName>
    <definedName name="discount_rate" localSheetId="28">#REF!</definedName>
    <definedName name="discount_rate">#REF!</definedName>
    <definedName name="dr" localSheetId="28">#REF!</definedName>
    <definedName name="dr">#REF!</definedName>
    <definedName name="drate">'[10]TechWATv5 (supwat5)'!$E$3</definedName>
    <definedName name="eaf">'[7]1999 PLAN'!$DJ$1:$DW$32</definedName>
    <definedName name="ee" localSheetId="28">#REF!</definedName>
    <definedName name="ee">#REF!</definedName>
    <definedName name="emissions_start" localSheetId="28">[8]NameConv!$AY$4</definedName>
    <definedName name="emissions_start">[9]NameConv!$AY$4</definedName>
    <definedName name="emissions_types" localSheetId="28">[8]NameConv!$AX$3</definedName>
    <definedName name="emissions_types">[9]NameConv!$AX$3</definedName>
    <definedName name="ENERGY">'[7]1999 PLAN'!$A$1:$M$49</definedName>
    <definedName name="ENERGY_PRINT">'[7]1999 PLAN'!$A$1:$M$51</definedName>
    <definedName name="Energy_Table" localSheetId="28">#REF!</definedName>
    <definedName name="Energy_Table">#REF!</definedName>
    <definedName name="ENERGY2">'[7]1999 PLAN'!$A$1:$M$51</definedName>
    <definedName name="EnergyTable200809" localSheetId="28">#REF!</definedName>
    <definedName name="EnergyTable200809">#REF!</definedName>
    <definedName name="ENRGY" localSheetId="28">#REF!</definedName>
    <definedName name="ENRGY">#REF!</definedName>
    <definedName name="EnSO" localSheetId="28">'[11]EIS Y-E'!#REF!</definedName>
    <definedName name="EnSO">'[11]EIS Y-E'!#REF!</definedName>
    <definedName name="environ">'[7]1999 PLAN'!$FU$1:$GL$21</definedName>
    <definedName name="epp_start" localSheetId="28">#REF!</definedName>
    <definedName name="epp_start">#REF!</definedName>
    <definedName name="eso">'[11]year-end'!#REF!</definedName>
    <definedName name="etech_data" localSheetId="28">#REF!</definedName>
    <definedName name="etech_data">#REF!</definedName>
    <definedName name="etech_parameters" localSheetId="28">#REF!</definedName>
    <definedName name="etech_parameters">#REF!</definedName>
    <definedName name="Exist_basic_data_start" localSheetId="28">#REF!</definedName>
    <definedName name="Exist_basic_data_start">#REF!</definedName>
    <definedName name="FF">[3]PLAN!$BA$27:$BO$50</definedName>
    <definedName name="FIVE" localSheetId="28">#REF!</definedName>
    <definedName name="FIVE">#REF!</definedName>
    <definedName name="five_1" localSheetId="28">#REF!</definedName>
    <definedName name="five_1">#REF!</definedName>
    <definedName name="forecast" localSheetId="28">#REF!</definedName>
    <definedName name="forecast">#REF!</definedName>
    <definedName name="FOUR">#REF!</definedName>
    <definedName name="FuelNames" localSheetId="28">[8]NameConv!$B$5:$C$44</definedName>
    <definedName name="FuelNames">[9]NameConv!$B$5:$C$44</definedName>
    <definedName name="GRAPHAREA" localSheetId="28">#REF!,#REF!,#REF!</definedName>
    <definedName name="GRAPHAREA">#REF!,#REF!,#REF!</definedName>
    <definedName name="HOME">'[7]1999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 localSheetId="28">[8]Distribution!$A$17</definedName>
    <definedName name="inchtocentimetre">[9]Distribution!$A$17</definedName>
    <definedName name="IND" localSheetId="28">[5]Index!$C$9</definedName>
    <definedName name="IND">[6]Index!$C$9</definedName>
    <definedName name="INIT" localSheetId="40">#REF!</definedName>
    <definedName name="INIT" localSheetId="28">#REF!</definedName>
    <definedName name="INIT">#REF!</definedName>
    <definedName name="InvConstraint" localSheetId="28">#REF!</definedName>
    <definedName name="InvConstraint">#REF!</definedName>
    <definedName name="LEAP" localSheetId="40">#REF!</definedName>
    <definedName name="LEAP" localSheetId="28">#REF!</definedName>
    <definedName name="LEAP">#REF!</definedName>
    <definedName name="LF">'[7]1999 PLAN'!$DY$1</definedName>
    <definedName name="LOADFACTOR" localSheetId="28">#REF!</definedName>
    <definedName name="LOADFACTOR">#REF!</definedName>
    <definedName name="LOADFACTOR2" localSheetId="28">#REF!</definedName>
    <definedName name="LOADFACTOR2">#REF!</definedName>
    <definedName name="LOADFACTOR3" localSheetId="28">#REF!</definedName>
    <definedName name="LOADFACTOR3">#REF!</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REPT([12]!LOCAL_YEAR_FORMAT,4)&amp;[12]!LOCAL_DATE_SEPARATOR&amp;REPT([12]!LOCAL_MONTH_FORMAT,2)&amp;[12]!LOCAL_DATE_SEPARATOR&amp;REPT([12]!LOCAL_DAY_FORMAT,2)&amp;" "&amp;REPT([12]!LOCAL_HOUR_FORMAT,2)&amp;[12]!LOCAL_TIME_SEPARATOR&amp;REPT([12]!LOCAL_MINUTE_FORMAT,2)&amp;[12]!LOCAL_TIME_SEPARATOR&amp;REPT([12]!LOCAL_SECOND_FORMAT,2)</definedName>
    <definedName name="LOCAL_MYSQL_DATE_FORMAT" localSheetId="15" hidden="1">REPT([12]!LOCAL_YEAR_FORMAT,4)&amp;[12]!LOCAL_DATE_SEPARATOR&amp;REPT([12]!LOCAL_MONTH_FORMAT,2)&amp;[12]!LOCAL_DATE_SEPARATOR&amp;REPT([12]!LOCAL_DAY_FORMAT,2)&amp;" "&amp;REPT([12]!LOCAL_HOUR_FORMAT,2)&amp;[12]!LOCAL_TIME_SEPARATOR&amp;REPT([12]!LOCAL_MINUTE_FORMAT,2)&amp;[12]!LOCAL_TIME_SEPARATOR&amp;REPT([12]!LOCAL_SECOND_FORMAT,2)</definedName>
    <definedName name="LOCAL_MYSQL_DATE_FORMAT" localSheetId="9" hidden="1">REPT([12]!LOCAL_YEAR_FORMAT,4)&amp;[12]!LOCAL_DATE_SEPARATOR&amp;REPT([12]!LOCAL_MONTH_FORMAT,2)&amp;[12]!LOCAL_DATE_SEPARATOR&amp;REPT([12]!LOCAL_DAY_FORMAT,2)&amp;" "&amp;REPT([12]!LOCAL_HOUR_FORMAT,2)&amp;[12]!LOCAL_TIME_SEPARATOR&amp;REPT([12]!LOCAL_MINUTE_FORMAT,2)&amp;[12]!LOCAL_TIME_SEPARATOR&amp;REPT([12]!LOCAL_SECOND_FORMAT,2)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REPT([12]!LOCAL_YEAR_FORMAT,4)&amp;[12]!LOCAL_DATE_SEPARATOR&amp;REPT([12]!LOCAL_MONTH_FORMAT,2)&amp;[12]!LOCAL_DATE_SEPARATOR&amp;REPT([12]!LOCAL_DAY_FORMAT,2)&amp;" "&amp;REPT([12]!LOCAL_HOUR_FORMAT,2)&amp;[12]!LOCAL_TIME_SEPARATOR&amp;REPT([12]!LOCAL_MINUTE_FORMAT,2)&amp;[12]!LOCAL_TIME_SEPARATOR&amp;REPT([12]!LOCAL_SECOND_FORMAT,2)</definedName>
    <definedName name="LOCAL_MYSQL_DATE_FORMAT" localSheetId="16" hidden="1">REPT([12]!LOCAL_YEAR_FORMAT,4)&amp;[12]!LOCAL_DATE_SEPARATOR&amp;REPT([12]!LOCAL_MONTH_FORMAT,2)&amp;[12]!LOCAL_DATE_SEPARATOR&amp;REPT([12]!LOCAL_DAY_FORMAT,2)&amp;" "&amp;REPT([12]!LOCAL_HOUR_FORMAT,2)&amp;[12]!LOCAL_TIME_SEPARATOR&amp;REPT([12]!LOCAL_MINUTE_FORMAT,2)&amp;[12]!LOCAL_TIME_SEPARATOR&amp;REPT([12]!LOCAL_SECOND_FORMAT,2)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REPT([12]!LOCAL_YEAR_FORMAT,4)&amp;[12]!LOCAL_DATE_SEPARATOR&amp;REPT([12]!LOCAL_MONTH_FORMAT,2)&amp;[12]!LOCAL_DATE_SEPARATOR&amp;REPT([12]!LOCAL_DAY_FORMAT,2)&amp;" "&amp;REPT([12]!LOCAL_HOUR_FORMAT,2)&amp;[12]!LOCAL_TIME_SEPARATOR&amp;REPT([12]!LOCAL_MINUTE_FORMAT,2)&amp;[12]!LOCAL_TIME_SEPARATOR&amp;REPT([12]!LOCAL_SECOND_FORMAT,2)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28">[8]Index!$A$2</definedName>
    <definedName name="Model_RUN_code">[9]Index!$A$2</definedName>
    <definedName name="monthlydel" localSheetId="28">#REF!</definedName>
    <definedName name="monthlydel">#REF!</definedName>
    <definedName name="MONTHLYDELIVERY" localSheetId="28">#REF!</definedName>
    <definedName name="MONTHLYDELIVERY">#REF!</definedName>
    <definedName name="New_basic_data_start" localSheetId="28">'[13]New Capacity basic data'!$B$9</definedName>
    <definedName name="New_basic_data_start">'[14]New Capacity basic data'!$B$9</definedName>
    <definedName name="newtech_cat" localSheetId="28">#REF!</definedName>
    <definedName name="newtech_cat">#REF!</definedName>
    <definedName name="newtech_count" localSheetId="28">#REF!</definedName>
    <definedName name="newtech_count">#REF!</definedName>
    <definedName name="newtech_data" localSheetId="28">#REF!</definedName>
    <definedName name="newtech_data">#REF!</definedName>
    <definedName name="newtech_parameters">#REF!</definedName>
    <definedName name="Newtech_Start">#REF!</definedName>
    <definedName name="NNN">#REF!</definedName>
    <definedName name="NONLEAP" localSheetId="40">#REF!</definedName>
    <definedName name="NONLEAP">#REF!</definedName>
    <definedName name="OCLF">[4]EAF!#REF!</definedName>
    <definedName name="OctoberYearEndProj0809" localSheetId="28">#REF!</definedName>
    <definedName name="OctoberYearEndProj0809">#REF!</definedName>
    <definedName name="ONE" localSheetId="28">#REF!</definedName>
    <definedName name="ONE">#REF!</definedName>
    <definedName name="ONE_1" localSheetId="28">#REF!</definedName>
    <definedName name="ONE_1">#REF!</definedName>
    <definedName name="Page_1">[3]Burn!$B$2:$U$31</definedName>
    <definedName name="Page_2">[3]Burn!$AB$1:$AM$43</definedName>
    <definedName name="page1" localSheetId="28">#REF!</definedName>
    <definedName name="page1">#REF!</definedName>
    <definedName name="PAGE10" localSheetId="28">#REF!</definedName>
    <definedName name="PAGE10">#REF!</definedName>
    <definedName name="page2" localSheetId="28">#REF!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[15]EAF!$A$1:$O$15</definedName>
    <definedName name="PeakContribution.Wind" localSheetId="28">#REF!</definedName>
    <definedName name="PeakContribution.Wind">#REF!</definedName>
    <definedName name="PEAKING">[4]EAF!#REF!</definedName>
    <definedName name="Plan0809" localSheetId="28">#REF!</definedName>
    <definedName name="Plan0809">#REF!</definedName>
    <definedName name="print_burnrates" localSheetId="28">#REF!</definedName>
    <definedName name="print_burnrates">#REF!</definedName>
    <definedName name="PRINT_FULL_BURN">'[7]1999 PLAN'!$S$1:$AJ$24</definedName>
    <definedName name="PRINT_FULL_ENERGY">'[7]1999 PLAN'!$A$1:$Q$53</definedName>
    <definedName name="Print1" localSheetId="40">#REF!</definedName>
    <definedName name="print1" localSheetId="28">#REF!</definedName>
    <definedName name="print1" localSheetId="30">#REF!</definedName>
    <definedName name="Print1">#REF!</definedName>
    <definedName name="printarea">#REF!</definedName>
    <definedName name="RES" localSheetId="28">[5]Index!$C$10</definedName>
    <definedName name="RES">[6]Index!$C$10</definedName>
    <definedName name="REV_FEBADJ" localSheetId="28">#REF!</definedName>
    <definedName name="REV_FEBADJ">#REF!</definedName>
    <definedName name="REV_JANADJ" localSheetId="28">#REF!</definedName>
    <definedName name="REV_JANADJ">#REF!</definedName>
    <definedName name="REV_MARADJ" localSheetId="28">#REF!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'[7]1999 PLAN'!$CH$1:$CT$21</definedName>
    <definedName name="Sector.Agriculture" localSheetId="28">[8]Index!$D$2</definedName>
    <definedName name="Sector.Agriculture">[9]Index!$D$2</definedName>
    <definedName name="Sector.Commercial" localSheetId="28">[8]Index!$E$2</definedName>
    <definedName name="Sector.Commercial">[9]Index!$E$2</definedName>
    <definedName name="Sector.Industry" localSheetId="28">[8]Index!$F$2</definedName>
    <definedName name="Sector.Industry">[9]Index!$F$2</definedName>
    <definedName name="Sector.Power" localSheetId="28">[8]Index!$I$2</definedName>
    <definedName name="Sector.Power">[9]Index!$I$2</definedName>
    <definedName name="Sector.Residential" localSheetId="28">[8]Index!$H$2</definedName>
    <definedName name="Sector.Residential">[9]Index!$H$2</definedName>
    <definedName name="Sector.Supply" localSheetId="28">[8]Index!$J$2</definedName>
    <definedName name="Sector.Supply">[9]Index!$J$2</definedName>
    <definedName name="Sector.Transport" localSheetId="28">[8]Index!$G$2</definedName>
    <definedName name="Sector.Transport">[9]Index!$G$2</definedName>
    <definedName name="sector_prefix" localSheetId="28">[8]UPS!$B$6</definedName>
    <definedName name="sector_prefix">[9]UPS!$B$6</definedName>
    <definedName name="SEVEN">[3]PLAN!$CT$1:$DJ$32</definedName>
    <definedName name="SIX" localSheetId="28">#REF!</definedName>
    <definedName name="SIX">#REF!</definedName>
    <definedName name="slide1" localSheetId="28">#REF!</definedName>
    <definedName name="slide1">#REF!</definedName>
    <definedName name="slide2" localSheetId="28">#REF!</definedName>
    <definedName name="slide2">#REF!</definedName>
    <definedName name="st">'[7]1999 PLAN'!$BS$1</definedName>
    <definedName name="sto">'[7]1999 PLAN'!$BD$1</definedName>
    <definedName name="STOCK" localSheetId="28">#REF!</definedName>
    <definedName name="STOCK">#REF!</definedName>
    <definedName name="STOCKDAYS" localSheetId="28">#REF!</definedName>
    <definedName name="STOCKDAYS">#REF!</definedName>
    <definedName name="stockp">'[7]1999 PLAN'!$BD$1:$BQ$18</definedName>
    <definedName name="stockt">'[7]1999 PLAN'!$BS$1:$CF$18</definedName>
    <definedName name="STP" localSheetId="28">[4]EAF!#REF!</definedName>
    <definedName name="STP">[4]EAF!#REF!</definedName>
    <definedName name="SUMMARY" localSheetId="28">#REF!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[16]Table2.2!#REF!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[16]Table2.2!#REF!</definedName>
    <definedName name="Summary_Tables_44">[1]Table2.1!#REF!</definedName>
    <definedName name="Summary_Tables_45">[1]Table2.2!#REF!</definedName>
    <definedName name="Summary_Tables_46">[1]Table2.2!#REF!</definedName>
    <definedName name="Summary_Tables_5">[16]Table2.2!#REF!</definedName>
    <definedName name="switch1">'[17]Modelled 2019 Emp'!#REF!</definedName>
    <definedName name="TABLE_11">[15]EAF!$A$1:$A$65536</definedName>
    <definedName name="table_41">'[7]1999 PLAN'!$BD$1:$BQ$49</definedName>
    <definedName name="TABLE1">'[7]1999 PLAN'!$A$1:$N$49</definedName>
    <definedName name="TABLE10">'[7]1999 PLAN'!$FC$1:$FR$24</definedName>
    <definedName name="table10_11" localSheetId="28">#REF!</definedName>
    <definedName name="table10_11">#REF!</definedName>
    <definedName name="TABLE11">[15]EAF!$A$1:$O$15</definedName>
    <definedName name="TABLE12">[15]EAF!$A$17:$O$32</definedName>
    <definedName name="table12_13" localSheetId="28">[4]EAF!#REF!</definedName>
    <definedName name="table12_13">[4]EAF!#REF!</definedName>
    <definedName name="TABLE13" localSheetId="28">[4]EAF!#REF!</definedName>
    <definedName name="TABLE13">[4]EAF!#REF!</definedName>
    <definedName name="TABLE14">[15]EAF!$A$34:$O$34</definedName>
    <definedName name="table14_15">[15]EAF!$A$34:$O$34</definedName>
    <definedName name="TABLE15" localSheetId="28">[4]EAF!#REF!</definedName>
    <definedName name="TABLE15">[4]EAF!#REF!</definedName>
    <definedName name="TABLE2">'[7]1999 PLAN'!$S$1:$AG$25</definedName>
    <definedName name="TABLE3">'[7]1999 PLAN'!$AL$1:$AY$20</definedName>
    <definedName name="table3a">'[7]1999 PLAN'!$AL$1:$AY$34</definedName>
    <definedName name="table4">'[7]1999 PLAN'!$BD$1:$BQ$20</definedName>
    <definedName name="table5">'[7]1999 PLAN'!$BS$1:$CF$22</definedName>
    <definedName name="table6">'[7]1999 PLAN'!$CH$1:$CT$22</definedName>
    <definedName name="table7">'[7]1999 PLAN'!$CV$1:$DH$46</definedName>
    <definedName name="table8">'[7]1999 PLAN'!$DJ$1:$DW$35</definedName>
    <definedName name="table9">'[7]1999 PLAN'!$DY$1:$EL$34</definedName>
    <definedName name="tale12_13">[15]EAF!$A$1:$O$32</definedName>
    <definedName name="THREE" localSheetId="28">#REF!</definedName>
    <definedName name="THREE">#REF!</definedName>
    <definedName name="TRA" localSheetId="28">[5]Index!$C$11</definedName>
    <definedName name="TRA">[6]Index!$C$11</definedName>
    <definedName name="TWO" localSheetId="28">#REF!</definedName>
    <definedName name="TWO">#REF!</definedName>
    <definedName name="TX_Losses">'[18]TX Losses'!$B$2</definedName>
    <definedName name="UCLF">[15]EAF!$A$21:$O$32</definedName>
    <definedName name="XLSIMSI" localSheetId="28" hidden="1">{"Sim",3,"Output 1","'Reworked data'!$AI$84","Output 2","'Reworked data'!$AJ$84","Output 3","'Reworked data'!$AK$84","1","2","100","0"}</definedName>
    <definedName name="XLSIMSI" hidden="1">{"Sim",3,"Output 1","'Reworked data'!$AI$84","Output 2","'Reworked data'!$AJ$84","Output 3","'Reworked data'!$AK$84","1","2","100","0"}</definedName>
    <definedName name="XLSIMSIM" localSheetId="40" hidden="1">{"Sim",3,"Output 1","'Reworked data'!$AI$84","Output 2","'Reworked data'!$AJ$84","Output 3","'Reworked data'!$AK$84","1","2","100","0"}</definedName>
    <definedName name="XLSIMSIM" localSheetId="28" hidden="1">{"Sim",3,"Output 1","'Reworked data'!$AI$84","Output 2","'Reworked data'!$AJ$84","Output 3","'Reworked data'!$AK$84","1","2","100","0"}</definedName>
    <definedName name="XLSIMSIM" hidden="1">{"Sim",3,"Output 1","'Reworked data'!$AI$84","Output 2","'Reworked data'!$AJ$84","Output 3","'Reworked data'!$AK$84","1","2","100","0"}</definedName>
    <definedName name="Year" localSheetId="28">#REF!</definedName>
    <definedName name="Year">#REF!</definedName>
    <definedName name="YTD_ANC" localSheetId="28">#REF!</definedName>
    <definedName name="YTD_ANC">#REF!</definedName>
    <definedName name="YTD_REV" localSheetId="28">#REF!</definedName>
    <definedName name="YTD_REV">#REF!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G21" i="78" l="1"/>
  <c r="BH21" i="78"/>
  <c r="BI21" i="78"/>
  <c r="BG13" i="78" l="1"/>
  <c r="BH13" i="78" s="1"/>
  <c r="BI13" i="78" s="1"/>
  <c r="BV18" i="78"/>
  <c r="BW18" i="78" s="1"/>
  <c r="BO15" i="78"/>
  <c r="BP15" i="78" s="1"/>
  <c r="BQ15" i="78" s="1"/>
  <c r="BR15" i="78" s="1"/>
  <c r="BS15" i="78" s="1"/>
  <c r="BL17" i="78"/>
  <c r="BM17" i="78" s="1"/>
  <c r="BN17" i="78" s="1"/>
  <c r="BO17" i="78" s="1"/>
  <c r="BP17" i="78" s="1"/>
  <c r="BY19" i="78"/>
  <c r="BZ19" i="78" s="1"/>
  <c r="BO20" i="78"/>
  <c r="BP20" i="78" s="1"/>
  <c r="BQ20" i="78" s="1"/>
  <c r="BN20" i="78"/>
  <c r="CA7" i="78"/>
  <c r="BV7" i="78"/>
  <c r="BW7" i="78"/>
  <c r="BX7" i="78"/>
  <c r="BY7" i="78"/>
  <c r="BQ7" i="78"/>
  <c r="BR7" i="78"/>
  <c r="BS7" i="78"/>
  <c r="BT7" i="78"/>
  <c r="AT13" i="79" l="1"/>
  <c r="BA9" i="79"/>
  <c r="BA13" i="79"/>
  <c r="BA14" i="79"/>
  <c r="BA37" i="79"/>
  <c r="BA38" i="79"/>
  <c r="AE19" i="78" l="1"/>
  <c r="AD19" i="78"/>
  <c r="AC19" i="78"/>
  <c r="AB19" i="78"/>
  <c r="AA19" i="78"/>
  <c r="Z19" i="78"/>
  <c r="Y19" i="78"/>
  <c r="X19" i="78"/>
  <c r="AE18" i="78"/>
  <c r="AD18" i="78"/>
  <c r="AC18" i="78"/>
  <c r="AB18" i="78"/>
  <c r="AA18" i="78"/>
  <c r="Z18" i="78"/>
  <c r="Y18" i="78"/>
  <c r="X18" i="78"/>
  <c r="BA98" i="85"/>
  <c r="BA113" i="85" s="1"/>
  <c r="AZ98" i="85"/>
  <c r="AY98" i="85"/>
  <c r="AY107" i="85" s="1"/>
  <c r="AX98" i="85"/>
  <c r="AW98" i="85"/>
  <c r="AW114" i="85" s="1"/>
  <c r="AV98" i="85"/>
  <c r="AU98" i="85"/>
  <c r="AU112" i="85" s="1"/>
  <c r="AT98" i="85"/>
  <c r="AT111" i="85" s="1"/>
  <c r="AS98" i="85"/>
  <c r="AS109" i="85" s="1"/>
  <c r="AR98" i="85"/>
  <c r="AQ98" i="85"/>
  <c r="AQ101" i="85" s="1"/>
  <c r="BC101" i="85" s="1"/>
  <c r="BN134" i="85"/>
  <c r="AZ114" i="85"/>
  <c r="AX114" i="85"/>
  <c r="AV114" i="85"/>
  <c r="AZ113" i="85"/>
  <c r="AX113" i="85"/>
  <c r="AV113" i="85"/>
  <c r="AZ112" i="85"/>
  <c r="AX112" i="85"/>
  <c r="AV112" i="85"/>
  <c r="AZ111" i="85"/>
  <c r="AX111" i="85"/>
  <c r="AV111" i="85"/>
  <c r="AZ110" i="85"/>
  <c r="AX110" i="85"/>
  <c r="AV110" i="85"/>
  <c r="AZ109" i="85"/>
  <c r="AX109" i="85"/>
  <c r="AW109" i="85"/>
  <c r="AV109" i="85"/>
  <c r="AZ108" i="85"/>
  <c r="AX108" i="85"/>
  <c r="AW108" i="85"/>
  <c r="AV108" i="85"/>
  <c r="AZ107" i="85"/>
  <c r="AX107" i="85"/>
  <c r="AV107" i="85"/>
  <c r="AZ106" i="85"/>
  <c r="AY106" i="85"/>
  <c r="AX106" i="85"/>
  <c r="AV106" i="85"/>
  <c r="AZ105" i="85"/>
  <c r="AX105" i="85"/>
  <c r="AW105" i="85"/>
  <c r="AV105" i="85"/>
  <c r="AZ104" i="85"/>
  <c r="AX104" i="85"/>
  <c r="AW104" i="85"/>
  <c r="AV104" i="85"/>
  <c r="AZ103" i="85"/>
  <c r="AX103" i="85"/>
  <c r="AV103" i="85"/>
  <c r="AZ102" i="85"/>
  <c r="AX102" i="85"/>
  <c r="AV102" i="85"/>
  <c r="AZ101" i="85"/>
  <c r="AX101" i="85"/>
  <c r="AW101" i="85"/>
  <c r="AV101" i="85"/>
  <c r="AZ100" i="85"/>
  <c r="AY100" i="85"/>
  <c r="AX100" i="85"/>
  <c r="AW100" i="85"/>
  <c r="AV100" i="85"/>
  <c r="AU114" i="85"/>
  <c r="AU113" i="85"/>
  <c r="AU108" i="85"/>
  <c r="AS110" i="85"/>
  <c r="AS101" i="85"/>
  <c r="AR114" i="85"/>
  <c r="AR113" i="85"/>
  <c r="AR112" i="85"/>
  <c r="AR111" i="85"/>
  <c r="AR110" i="85"/>
  <c r="AR109" i="85"/>
  <c r="AR108" i="85"/>
  <c r="AR107" i="85"/>
  <c r="AR106" i="85"/>
  <c r="AR105" i="85"/>
  <c r="AR104" i="85"/>
  <c r="AR103" i="85"/>
  <c r="AR102" i="85"/>
  <c r="AR101" i="85"/>
  <c r="AR100" i="85"/>
  <c r="AQ100" i="85"/>
  <c r="BC100" i="85" s="1"/>
  <c r="AQ112" i="85"/>
  <c r="BC112" i="85" s="1"/>
  <c r="AQ114" i="85" l="1"/>
  <c r="BC114" i="85" s="1"/>
  <c r="AY102" i="85"/>
  <c r="AY109" i="85"/>
  <c r="AY111" i="85"/>
  <c r="AY113" i="85"/>
  <c r="AQ113" i="85"/>
  <c r="BC113" i="85" s="1"/>
  <c r="AY104" i="85"/>
  <c r="AQ111" i="85"/>
  <c r="BC111" i="85" s="1"/>
  <c r="AY108" i="85"/>
  <c r="AQ110" i="85"/>
  <c r="BC110" i="85" s="1"/>
  <c r="AY101" i="85"/>
  <c r="AY103" i="85"/>
  <c r="AY110" i="85"/>
  <c r="AY112" i="85"/>
  <c r="AY114" i="85"/>
  <c r="AQ109" i="85"/>
  <c r="BC109" i="85" s="1"/>
  <c r="AQ108" i="85"/>
  <c r="BC108" i="85" s="1"/>
  <c r="AY105" i="85"/>
  <c r="AW113" i="85"/>
  <c r="BA100" i="85"/>
  <c r="BA106" i="85"/>
  <c r="AS104" i="85"/>
  <c r="AS105" i="85"/>
  <c r="AS114" i="85"/>
  <c r="BA105" i="85"/>
  <c r="BA108" i="85"/>
  <c r="BA111" i="85"/>
  <c r="BA114" i="85"/>
  <c r="AS106" i="85"/>
  <c r="AU100" i="85"/>
  <c r="AS111" i="85"/>
  <c r="BA112" i="85"/>
  <c r="AS103" i="85"/>
  <c r="AS113" i="85"/>
  <c r="BA102" i="85"/>
  <c r="AS107" i="85"/>
  <c r="AU105" i="85"/>
  <c r="BA101" i="85"/>
  <c r="BA104" i="85"/>
  <c r="BA107" i="85"/>
  <c r="BA103" i="85"/>
  <c r="AS102" i="85"/>
  <c r="AS112" i="85"/>
  <c r="BA109" i="85"/>
  <c r="AS100" i="85"/>
  <c r="AS108" i="85"/>
  <c r="AU106" i="85"/>
  <c r="BA110" i="85"/>
  <c r="AT104" i="85"/>
  <c r="AT112" i="85"/>
  <c r="AT106" i="85"/>
  <c r="AT114" i="85"/>
  <c r="AU107" i="85"/>
  <c r="AT105" i="85"/>
  <c r="AT107" i="85"/>
  <c r="AT100" i="85"/>
  <c r="AT108" i="85"/>
  <c r="AU101" i="85"/>
  <c r="AU109" i="85"/>
  <c r="AT101" i="85"/>
  <c r="AT109" i="85"/>
  <c r="AU102" i="85"/>
  <c r="AU110" i="85"/>
  <c r="AW103" i="85"/>
  <c r="AW107" i="85"/>
  <c r="AW111" i="85"/>
  <c r="AW112" i="85"/>
  <c r="AT102" i="85"/>
  <c r="AT110" i="85"/>
  <c r="AU103" i="85"/>
  <c r="AU111" i="85"/>
  <c r="AT113" i="85"/>
  <c r="AT103" i="85"/>
  <c r="AU104" i="85"/>
  <c r="AW102" i="85"/>
  <c r="AW106" i="85"/>
  <c r="AW110" i="85"/>
  <c r="AQ107" i="85"/>
  <c r="BC107" i="85" s="1"/>
  <c r="AQ106" i="85"/>
  <c r="BC106" i="85" s="1"/>
  <c r="AQ105" i="85"/>
  <c r="BC105" i="85" s="1"/>
  <c r="AQ104" i="85"/>
  <c r="BC104" i="85" s="1"/>
  <c r="AQ103" i="85"/>
  <c r="BC103" i="85" s="1"/>
  <c r="R11" i="81" l="1"/>
  <c r="R12" i="81"/>
  <c r="R13" i="81"/>
  <c r="R14" i="81"/>
  <c r="R15" i="81"/>
  <c r="R16" i="81"/>
  <c r="R17" i="81"/>
  <c r="R18" i="81"/>
  <c r="R19" i="81"/>
  <c r="R20" i="81"/>
  <c r="R21" i="81"/>
  <c r="R22" i="81"/>
  <c r="R23" i="81"/>
  <c r="R10" i="81"/>
  <c r="L28" i="81"/>
  <c r="R28" i="81"/>
  <c r="I7" i="110"/>
  <c r="J7" i="110"/>
  <c r="K7" i="110"/>
  <c r="L7" i="110"/>
  <c r="M7" i="110"/>
  <c r="N7" i="110"/>
  <c r="O7" i="110"/>
  <c r="P7" i="110"/>
  <c r="Q7" i="110"/>
  <c r="R7" i="110"/>
  <c r="S7" i="110"/>
  <c r="H7" i="110"/>
  <c r="O11" i="81" l="1"/>
  <c r="O13" i="81" s="1"/>
  <c r="O15" i="81" s="1"/>
  <c r="O17" i="81" s="1"/>
  <c r="O19" i="81" s="1"/>
  <c r="O21" i="81" s="1"/>
  <c r="O23" i="81" s="1"/>
  <c r="CB30" i="78"/>
  <c r="CC30" i="78" s="1"/>
  <c r="Q9" i="83"/>
  <c r="O10" i="81" l="1"/>
  <c r="O12" i="81" s="1"/>
  <c r="O14" i="81" s="1"/>
  <c r="O16" i="81" s="1"/>
  <c r="O18" i="81" s="1"/>
  <c r="O20" i="81" s="1"/>
  <c r="O22" i="81" s="1"/>
  <c r="O24" i="81" s="1"/>
  <c r="L56" i="128"/>
  <c r="J40" i="79"/>
  <c r="J41" i="79"/>
  <c r="BL33" i="79" l="1"/>
  <c r="BL34" i="79" s="1"/>
  <c r="BL35" i="79" s="1"/>
  <c r="BL36" i="79" s="1"/>
  <c r="BM33" i="79"/>
  <c r="BM34" i="79" s="1"/>
  <c r="BM35" i="79" s="1"/>
  <c r="BM36" i="79" s="1"/>
  <c r="BN33" i="79"/>
  <c r="BN34" i="79" s="1"/>
  <c r="BN35" i="79" s="1"/>
  <c r="BN36" i="79" s="1"/>
  <c r="BO33" i="79"/>
  <c r="BO34" i="79" s="1"/>
  <c r="BO35" i="79" s="1"/>
  <c r="BO36" i="79" s="1"/>
  <c r="BP33" i="79"/>
  <c r="BP34" i="79" s="1"/>
  <c r="BP35" i="79" s="1"/>
  <c r="BP36" i="79" s="1"/>
  <c r="BK33" i="79"/>
  <c r="BK34" i="79" s="1"/>
  <c r="BK35" i="79" s="1"/>
  <c r="BK36" i="79" s="1"/>
  <c r="BK7" i="79"/>
  <c r="BL7" i="79"/>
  <c r="BM7" i="79"/>
  <c r="BN7" i="79"/>
  <c r="BO7" i="79"/>
  <c r="BP7" i="79"/>
  <c r="BQ7" i="79"/>
  <c r="BR7" i="79"/>
  <c r="BS7" i="79"/>
  <c r="G6" i="98"/>
  <c r="AB6" i="99"/>
  <c r="G5" i="98"/>
  <c r="L10" i="81"/>
  <c r="L11" i="81"/>
  <c r="L12" i="81"/>
  <c r="L13" i="81"/>
  <c r="L14" i="81"/>
  <c r="L15" i="81"/>
  <c r="L16" i="81"/>
  <c r="L17" i="81"/>
  <c r="L18" i="81"/>
  <c r="L19" i="81"/>
  <c r="L20" i="81"/>
  <c r="L21" i="81"/>
  <c r="L22" i="81"/>
  <c r="L23" i="81"/>
  <c r="L24" i="81"/>
  <c r="L7" i="81"/>
  <c r="C15" i="80" l="1"/>
  <c r="B15" i="80"/>
  <c r="C16" i="80"/>
  <c r="B16" i="80"/>
  <c r="BB33" i="79" l="1"/>
  <c r="BC33" i="79"/>
  <c r="BD33" i="79"/>
  <c r="BE33" i="79"/>
  <c r="BF33" i="79"/>
  <c r="BH33" i="79"/>
  <c r="BI33" i="79"/>
  <c r="BB34" i="79"/>
  <c r="BC34" i="79"/>
  <c r="BD34" i="79"/>
  <c r="BE34" i="79"/>
  <c r="BF34" i="79"/>
  <c r="BH34" i="79"/>
  <c r="BI34" i="79"/>
  <c r="BB35" i="79"/>
  <c r="BC35" i="79"/>
  <c r="BD35" i="79"/>
  <c r="BE35" i="79"/>
  <c r="BF35" i="79"/>
  <c r="BH35" i="79"/>
  <c r="BI35" i="79"/>
  <c r="BB36" i="79"/>
  <c r="BC36" i="79"/>
  <c r="BD36" i="79"/>
  <c r="BE36" i="79"/>
  <c r="BF36" i="79"/>
  <c r="BH36" i="79"/>
  <c r="BI36" i="79"/>
  <c r="BC32" i="79"/>
  <c r="BD32" i="79"/>
  <c r="BE32" i="79"/>
  <c r="BF32" i="79"/>
  <c r="BH32" i="79"/>
  <c r="BI32" i="79"/>
  <c r="AY32" i="79"/>
  <c r="AZ32" i="79"/>
  <c r="BB32" i="79"/>
  <c r="AY33" i="79"/>
  <c r="AZ33" i="79"/>
  <c r="AY34" i="79"/>
  <c r="AZ34" i="79"/>
  <c r="AY35" i="79"/>
  <c r="AZ35" i="79"/>
  <c r="AY36" i="79"/>
  <c r="AZ36" i="79"/>
  <c r="AX33" i="79"/>
  <c r="BA33" i="79" s="1"/>
  <c r="AX34" i="79"/>
  <c r="BA34" i="79" s="1"/>
  <c r="AX35" i="79"/>
  <c r="BA35" i="79" s="1"/>
  <c r="AX36" i="79"/>
  <c r="AX32" i="79"/>
  <c r="C32" i="79"/>
  <c r="B32" i="79"/>
  <c r="C33" i="79"/>
  <c r="B33" i="79"/>
  <c r="P56" i="128"/>
  <c r="Q56" i="128" s="1"/>
  <c r="R56" i="128" s="1"/>
  <c r="S56" i="128" s="1"/>
  <c r="K56" i="128"/>
  <c r="C37" i="128"/>
  <c r="C34" i="128"/>
  <c r="C41" i="128" s="1"/>
  <c r="C33" i="128"/>
  <c r="C40" i="128" s="1"/>
  <c r="C32" i="128"/>
  <c r="C39" i="128" s="1"/>
  <c r="C31" i="128"/>
  <c r="C38" i="128" s="1"/>
  <c r="C30" i="128"/>
  <c r="S26" i="128"/>
  <c r="D26" i="128"/>
  <c r="K25" i="128"/>
  <c r="E24" i="128"/>
  <c r="E23" i="128"/>
  <c r="F23" i="128" s="1"/>
  <c r="E22" i="128"/>
  <c r="E19" i="128"/>
  <c r="AF14" i="128"/>
  <c r="AF13" i="128"/>
  <c r="AF11" i="128"/>
  <c r="AF12" i="128" s="1"/>
  <c r="A1" i="128"/>
  <c r="BA32" i="79" l="1"/>
  <c r="BA36" i="79"/>
  <c r="E30" i="128"/>
  <c r="F22" i="128"/>
  <c r="F25" i="128"/>
  <c r="J29" i="128" a="1"/>
  <c r="J29" i="128" s="1"/>
  <c r="P29" i="128" a="1"/>
  <c r="P29" i="128" s="1"/>
  <c r="O29" i="128" a="1"/>
  <c r="O29" i="128" s="1"/>
  <c r="I29" i="128" a="1"/>
  <c r="I29" i="128" s="1"/>
  <c r="N29" i="128" a="1"/>
  <c r="N29" i="128" s="1"/>
  <c r="H29" i="128" a="1"/>
  <c r="H29" i="128" s="1"/>
  <c r="S29" i="128" a="1"/>
  <c r="S29" i="128" s="1"/>
  <c r="S34" i="128" s="1"/>
  <c r="G29" i="128" a="1"/>
  <c r="G29" i="128" s="1"/>
  <c r="F29" i="128" a="1"/>
  <c r="F29" i="128" s="1"/>
  <c r="F31" i="128" s="1"/>
  <c r="M29" i="128" a="1"/>
  <c r="M29" i="128" s="1"/>
  <c r="R29" i="128" a="1"/>
  <c r="R29" i="128" s="1"/>
  <c r="L29" i="128" a="1"/>
  <c r="L29" i="128" s="1"/>
  <c r="Q29" i="128" a="1"/>
  <c r="Q29" i="128" s="1"/>
  <c r="K29" i="128" a="1"/>
  <c r="K29" i="128" s="1"/>
  <c r="K33" i="128" s="1"/>
  <c r="E29" i="128" a="1"/>
  <c r="E29" i="128" s="1"/>
  <c r="D29" i="128" a="1"/>
  <c r="D29" i="128" s="1"/>
  <c r="G23" i="128"/>
  <c r="E32" i="128"/>
  <c r="E31" i="128"/>
  <c r="D41" i="128"/>
  <c r="F24" i="128"/>
  <c r="E25" i="128"/>
  <c r="E33" i="128" s="1"/>
  <c r="E26" i="128"/>
  <c r="S32" i="128" l="1"/>
  <c r="S31" i="128"/>
  <c r="S33" i="128"/>
  <c r="S30" i="128"/>
  <c r="E34" i="128"/>
  <c r="E41" i="128" s="1"/>
  <c r="E49" i="128" s="1"/>
  <c r="F26" i="128"/>
  <c r="H23" i="128"/>
  <c r="G31" i="128"/>
  <c r="D37" i="128"/>
  <c r="E37" i="128" s="1"/>
  <c r="D39" i="128"/>
  <c r="D32" i="128" s="1"/>
  <c r="D38" i="128"/>
  <c r="D31" i="128" s="1"/>
  <c r="D40" i="128"/>
  <c r="D33" i="128" s="1"/>
  <c r="F32" i="128"/>
  <c r="G24" i="128"/>
  <c r="K34" i="128"/>
  <c r="K31" i="128"/>
  <c r="K21" i="128"/>
  <c r="L21" i="128" s="1"/>
  <c r="M21" i="128" s="1"/>
  <c r="N21" i="128" s="1"/>
  <c r="O21" i="128" s="1"/>
  <c r="P21" i="128" s="1"/>
  <c r="Q21" i="128" s="1"/>
  <c r="R21" i="128" s="1"/>
  <c r="S21" i="128" s="1"/>
  <c r="K30" i="128"/>
  <c r="K32" i="128"/>
  <c r="D49" i="128"/>
  <c r="D34" i="128"/>
  <c r="F33" i="128"/>
  <c r="G25" i="128"/>
  <c r="F30" i="128"/>
  <c r="G22" i="128"/>
  <c r="F37" i="128" l="1"/>
  <c r="E38" i="128"/>
  <c r="F38" i="128" s="1"/>
  <c r="G38" i="128"/>
  <c r="H31" i="128"/>
  <c r="H38" i="128" s="1"/>
  <c r="I23" i="128"/>
  <c r="F34" i="128"/>
  <c r="F41" i="128" s="1"/>
  <c r="F49" i="128" s="1"/>
  <c r="G26" i="128"/>
  <c r="G30" i="128"/>
  <c r="H22" i="128"/>
  <c r="G32" i="128"/>
  <c r="H24" i="128"/>
  <c r="F39" i="128"/>
  <c r="H25" i="128"/>
  <c r="G33" i="128"/>
  <c r="E40" i="128"/>
  <c r="E42" i="128" s="1"/>
  <c r="E43" i="128" s="1"/>
  <c r="F40" i="128"/>
  <c r="E39" i="128"/>
  <c r="D42" i="128"/>
  <c r="D30" i="128"/>
  <c r="F42" i="128" l="1"/>
  <c r="G37" i="128"/>
  <c r="F43" i="128"/>
  <c r="G40" i="128"/>
  <c r="H30" i="128"/>
  <c r="I22" i="128"/>
  <c r="I25" i="128"/>
  <c r="H33" i="128"/>
  <c r="G34" i="128"/>
  <c r="G41" i="128" s="1"/>
  <c r="G49" i="128" s="1"/>
  <c r="H26" i="128"/>
  <c r="J23" i="128"/>
  <c r="J31" i="128" s="1"/>
  <c r="I31" i="128"/>
  <c r="I38" i="128" s="1"/>
  <c r="L23" i="128"/>
  <c r="L31" i="128" s="1"/>
  <c r="BG33" i="79" s="1"/>
  <c r="I24" i="128"/>
  <c r="H32" i="128"/>
  <c r="G39" i="128"/>
  <c r="G42" i="128" s="1"/>
  <c r="G43" i="128" s="1"/>
  <c r="H39" i="128" l="1"/>
  <c r="H37" i="128"/>
  <c r="H42" i="128" s="1"/>
  <c r="H43" i="128" s="1"/>
  <c r="J38" i="128"/>
  <c r="K38" i="128" s="1"/>
  <c r="L38" i="128" s="1"/>
  <c r="M23" i="128"/>
  <c r="H34" i="128"/>
  <c r="H41" i="128" s="1"/>
  <c r="H49" i="128" s="1"/>
  <c r="I26" i="128"/>
  <c r="I32" i="128"/>
  <c r="L24" i="128"/>
  <c r="L32" i="128" s="1"/>
  <c r="BG34" i="79" s="1"/>
  <c r="J24" i="128"/>
  <c r="J32" i="128" s="1"/>
  <c r="H40" i="128"/>
  <c r="J25" i="128"/>
  <c r="J33" i="128" s="1"/>
  <c r="I33" i="128"/>
  <c r="I40" i="128" s="1"/>
  <c r="L25" i="128"/>
  <c r="L33" i="128" s="1"/>
  <c r="BG35" i="79" s="1"/>
  <c r="L22" i="128"/>
  <c r="I30" i="128"/>
  <c r="I37" i="128" s="1"/>
  <c r="M22" i="128"/>
  <c r="J22" i="128"/>
  <c r="J30" i="128" s="1"/>
  <c r="I39" i="128" l="1"/>
  <c r="J40" i="128"/>
  <c r="K40" i="128" s="1"/>
  <c r="L40" i="128"/>
  <c r="J39" i="128"/>
  <c r="K39" i="128" s="1"/>
  <c r="L39" i="128" s="1"/>
  <c r="M25" i="128"/>
  <c r="M24" i="128"/>
  <c r="M26" i="128" s="1"/>
  <c r="M34" i="128" s="1"/>
  <c r="J37" i="128"/>
  <c r="M30" i="128"/>
  <c r="L30" i="128"/>
  <c r="BG32" i="79" s="1"/>
  <c r="L26" i="128"/>
  <c r="L34" i="128" s="1"/>
  <c r="BG36" i="79" s="1"/>
  <c r="M31" i="128"/>
  <c r="M38" i="128" s="1"/>
  <c r="N23" i="128"/>
  <c r="I34" i="128"/>
  <c r="I41" i="128" s="1"/>
  <c r="I49" i="128" s="1"/>
  <c r="J26" i="128"/>
  <c r="J34" i="128" s="1"/>
  <c r="J41" i="128" s="1"/>
  <c r="N22" i="128"/>
  <c r="I42" i="128" l="1"/>
  <c r="I43" i="128" s="1"/>
  <c r="N31" i="128"/>
  <c r="N38" i="128" s="1"/>
  <c r="O23" i="128"/>
  <c r="L41" i="128"/>
  <c r="L49" i="128" s="1"/>
  <c r="J42" i="128"/>
  <c r="J43" i="128" s="1"/>
  <c r="K37" i="128"/>
  <c r="L37" i="128" s="1"/>
  <c r="N30" i="128"/>
  <c r="O22" i="128"/>
  <c r="M32" i="128"/>
  <c r="M39" i="128" s="1"/>
  <c r="N24" i="128"/>
  <c r="J49" i="128"/>
  <c r="K41" i="128"/>
  <c r="K49" i="128" s="1"/>
  <c r="M33" i="128"/>
  <c r="M40" i="128" s="1"/>
  <c r="N25" i="128"/>
  <c r="L42" i="128" l="1"/>
  <c r="M37" i="128"/>
  <c r="O31" i="128"/>
  <c r="O38" i="128" s="1"/>
  <c r="P23" i="128"/>
  <c r="M41" i="128"/>
  <c r="M49" i="128" s="1"/>
  <c r="N33" i="128"/>
  <c r="N40" i="128" s="1"/>
  <c r="O25" i="128"/>
  <c r="N32" i="128"/>
  <c r="N39" i="128" s="1"/>
  <c r="O24" i="128"/>
  <c r="O30" i="128"/>
  <c r="O26" i="128"/>
  <c r="O34" i="128" s="1"/>
  <c r="P22" i="128"/>
  <c r="N26" i="128"/>
  <c r="N34" i="128" s="1"/>
  <c r="N37" i="128"/>
  <c r="K42" i="128"/>
  <c r="K43" i="128" s="1"/>
  <c r="L43" i="128" l="1"/>
  <c r="P30" i="128"/>
  <c r="P26" i="128"/>
  <c r="P34" i="128" s="1"/>
  <c r="Q22" i="128"/>
  <c r="M42" i="128"/>
  <c r="M43" i="128" s="1"/>
  <c r="P31" i="128"/>
  <c r="P38" i="128" s="1"/>
  <c r="Q23" i="128"/>
  <c r="N41" i="128"/>
  <c r="N49" i="128" s="1"/>
  <c r="O37" i="128"/>
  <c r="O32" i="128"/>
  <c r="O39" i="128" s="1"/>
  <c r="P24" i="128"/>
  <c r="O33" i="128"/>
  <c r="O40" i="128" s="1"/>
  <c r="P25" i="128"/>
  <c r="O41" i="128" l="1"/>
  <c r="O49" i="128" s="1"/>
  <c r="N42" i="128"/>
  <c r="P41" i="128"/>
  <c r="P49" i="128" s="1"/>
  <c r="P37" i="128"/>
  <c r="P33" i="128"/>
  <c r="P40" i="128" s="1"/>
  <c r="Q25" i="128"/>
  <c r="N43" i="128"/>
  <c r="Q30" i="128"/>
  <c r="Q26" i="128"/>
  <c r="Q34" i="128" s="1"/>
  <c r="R22" i="128"/>
  <c r="P32" i="128"/>
  <c r="P39" i="128" s="1"/>
  <c r="Q24" i="128"/>
  <c r="O42" i="128"/>
  <c r="Q31" i="128"/>
  <c r="Q38" i="128" s="1"/>
  <c r="R23" i="128"/>
  <c r="R31" i="128" s="1"/>
  <c r="Q37" i="128" l="1"/>
  <c r="O43" i="128"/>
  <c r="P42" i="128"/>
  <c r="P43" i="128" s="1"/>
  <c r="R38" i="128"/>
  <c r="S38" i="128" s="1"/>
  <c r="Q41" i="128"/>
  <c r="Q49" i="128" s="1"/>
  <c r="Q33" i="128"/>
  <c r="Q40" i="128" s="1"/>
  <c r="R25" i="128"/>
  <c r="R33" i="128" s="1"/>
  <c r="R40" i="128" s="1"/>
  <c r="S40" i="128" s="1"/>
  <c r="R30" i="128"/>
  <c r="R37" i="128" s="1"/>
  <c r="R26" i="128"/>
  <c r="R34" i="128" s="1"/>
  <c r="R41" i="128" s="1"/>
  <c r="Q32" i="128"/>
  <c r="Q39" i="128" s="1"/>
  <c r="Q42" i="128" s="1"/>
  <c r="Q43" i="128" s="1"/>
  <c r="R24" i="128"/>
  <c r="R32" i="128" s="1"/>
  <c r="R49" i="128" l="1"/>
  <c r="S41" i="128"/>
  <c r="S49" i="128" s="1"/>
  <c r="S37" i="128"/>
  <c r="R39" i="128"/>
  <c r="S39" i="128" s="1"/>
  <c r="R42" i="128" l="1"/>
  <c r="R43" i="128" s="1"/>
  <c r="S42" i="128"/>
  <c r="S43" i="128" s="1"/>
  <c r="K28" i="79" l="1"/>
  <c r="L28" i="79"/>
  <c r="F186" i="116"/>
  <c r="L22" i="79"/>
  <c r="L13" i="79"/>
  <c r="L10" i="79"/>
  <c r="T32" i="106"/>
  <c r="S33" i="106"/>
  <c r="T33" i="106"/>
  <c r="Q10" i="106"/>
  <c r="Q11" i="106"/>
  <c r="Q12" i="106"/>
  <c r="Q13" i="106"/>
  <c r="Q14" i="106"/>
  <c r="Q15" i="106"/>
  <c r="Q16" i="106"/>
  <c r="Q17" i="106"/>
  <c r="Q18" i="106"/>
  <c r="Q19" i="106"/>
  <c r="Q20" i="106"/>
  <c r="Q21" i="106"/>
  <c r="Q22" i="106"/>
  <c r="Q23" i="106"/>
  <c r="Q24" i="106"/>
  <c r="Q25" i="106"/>
  <c r="Q9" i="106"/>
  <c r="R7" i="106"/>
  <c r="S7" i="106"/>
  <c r="T7" i="106"/>
  <c r="Q7" i="106"/>
  <c r="R5" i="106"/>
  <c r="S5" i="106"/>
  <c r="T5" i="106"/>
  <c r="Q5" i="106"/>
  <c r="AT40" i="79"/>
  <c r="R47" i="84"/>
  <c r="N7" i="106" l="1"/>
  <c r="O7" i="106"/>
  <c r="P7" i="106"/>
  <c r="M7" i="106"/>
  <c r="H7" i="100"/>
  <c r="I7" i="100"/>
  <c r="J7" i="100"/>
  <c r="K7" i="100"/>
  <c r="L7" i="100"/>
  <c r="BJ7" i="79"/>
  <c r="I9" i="81"/>
  <c r="J7" i="81"/>
  <c r="H130" i="116" l="1"/>
  <c r="H126" i="116"/>
  <c r="E130" i="116"/>
  <c r="F130" i="116"/>
  <c r="G130" i="116"/>
  <c r="D130" i="116"/>
  <c r="C130" i="116"/>
  <c r="D47" i="116" l="1"/>
  <c r="E47" i="116"/>
  <c r="F47" i="116"/>
  <c r="G47" i="116"/>
  <c r="H47" i="116"/>
  <c r="E46" i="116"/>
  <c r="F46" i="116"/>
  <c r="G46" i="116"/>
  <c r="H46" i="116"/>
  <c r="D46" i="116"/>
  <c r="E44" i="116"/>
  <c r="F44" i="116"/>
  <c r="G44" i="116"/>
  <c r="H44" i="116"/>
  <c r="D44" i="116"/>
  <c r="L29" i="80"/>
  <c r="L48" i="80"/>
  <c r="AK15" i="93"/>
  <c r="AJ15" i="93"/>
  <c r="AI15" i="93"/>
  <c r="AH15" i="93"/>
  <c r="AG15" i="93"/>
  <c r="AF15" i="93"/>
  <c r="AE15" i="93"/>
  <c r="AD15" i="93"/>
  <c r="AC15" i="93"/>
  <c r="AB15" i="93"/>
  <c r="AA15" i="93"/>
  <c r="Z15" i="93"/>
  <c r="Y15" i="93"/>
  <c r="X15" i="93"/>
  <c r="W15" i="93"/>
  <c r="V15" i="93"/>
  <c r="U15" i="93"/>
  <c r="T15" i="93"/>
  <c r="Q15" i="93"/>
  <c r="P15" i="93"/>
  <c r="O15" i="93"/>
  <c r="N15" i="93"/>
  <c r="M15" i="93"/>
  <c r="L15" i="93"/>
  <c r="K15" i="93"/>
  <c r="J15" i="93"/>
  <c r="I15" i="93"/>
  <c r="H15" i="93"/>
  <c r="G15" i="93"/>
  <c r="F15" i="93"/>
  <c r="E15" i="93"/>
  <c r="D15" i="93"/>
  <c r="C15" i="93"/>
  <c r="B15" i="93"/>
  <c r="AK14" i="93"/>
  <c r="AJ14" i="93"/>
  <c r="AI14" i="93"/>
  <c r="AH14" i="93"/>
  <c r="AG14" i="93"/>
  <c r="AF14" i="93"/>
  <c r="AE14" i="93"/>
  <c r="AD14" i="93"/>
  <c r="AC14" i="93"/>
  <c r="AB14" i="93"/>
  <c r="AA14" i="93"/>
  <c r="Z14" i="93"/>
  <c r="Y14" i="93"/>
  <c r="X14" i="93"/>
  <c r="W14" i="93"/>
  <c r="V14" i="93"/>
  <c r="U14" i="93"/>
  <c r="T14" i="93"/>
  <c r="Q14" i="93"/>
  <c r="P14" i="93"/>
  <c r="O14" i="93"/>
  <c r="N14" i="93"/>
  <c r="M14" i="93"/>
  <c r="L14" i="93"/>
  <c r="K14" i="93"/>
  <c r="J14" i="93"/>
  <c r="I14" i="93"/>
  <c r="H14" i="93"/>
  <c r="G14" i="93"/>
  <c r="F14" i="93"/>
  <c r="E14" i="93"/>
  <c r="D14" i="93"/>
  <c r="C14" i="93"/>
  <c r="B14" i="93"/>
  <c r="AK13" i="93"/>
  <c r="AJ13" i="93"/>
  <c r="AI13" i="93"/>
  <c r="AH13" i="93"/>
  <c r="AG13" i="93"/>
  <c r="AF13" i="93"/>
  <c r="AE13" i="93"/>
  <c r="AD13" i="93"/>
  <c r="AC13" i="93"/>
  <c r="AB13" i="93"/>
  <c r="AA13" i="93"/>
  <c r="Z13" i="93"/>
  <c r="Y13" i="93"/>
  <c r="X13" i="93"/>
  <c r="W13" i="93"/>
  <c r="V13" i="93"/>
  <c r="U13" i="93"/>
  <c r="T13" i="93"/>
  <c r="Q13" i="93"/>
  <c r="P13" i="93"/>
  <c r="O13" i="93"/>
  <c r="N13" i="93"/>
  <c r="M13" i="93"/>
  <c r="L13" i="93"/>
  <c r="K13" i="93"/>
  <c r="J13" i="93"/>
  <c r="I13" i="93"/>
  <c r="H13" i="93"/>
  <c r="G13" i="93"/>
  <c r="F13" i="93"/>
  <c r="E13" i="93"/>
  <c r="D13" i="93"/>
  <c r="C13" i="93"/>
  <c r="B13" i="93"/>
  <c r="AK12" i="93"/>
  <c r="AJ12" i="93"/>
  <c r="AI12" i="93"/>
  <c r="AH12" i="93"/>
  <c r="AG12" i="93"/>
  <c r="AF12" i="93"/>
  <c r="AE12" i="93"/>
  <c r="AD12" i="93"/>
  <c r="AC12" i="93"/>
  <c r="AB12" i="93"/>
  <c r="AA12" i="93"/>
  <c r="Z12" i="93"/>
  <c r="Y12" i="93"/>
  <c r="X12" i="93"/>
  <c r="W12" i="93"/>
  <c r="V12" i="93"/>
  <c r="U12" i="93"/>
  <c r="T12" i="93"/>
  <c r="Q12" i="93"/>
  <c r="P12" i="93"/>
  <c r="O12" i="93"/>
  <c r="N12" i="93"/>
  <c r="M12" i="93"/>
  <c r="L12" i="93"/>
  <c r="K12" i="93"/>
  <c r="J12" i="93"/>
  <c r="I12" i="93"/>
  <c r="H12" i="93"/>
  <c r="G12" i="93"/>
  <c r="F12" i="93"/>
  <c r="E12" i="93"/>
  <c r="D12" i="93"/>
  <c r="C12" i="93"/>
  <c r="B12" i="93"/>
  <c r="BE21" i="79" l="1"/>
  <c r="BE20" i="79"/>
  <c r="V25" i="106" l="1"/>
  <c r="R27" i="78"/>
  <c r="R29" i="78"/>
  <c r="V30" i="106"/>
  <c r="V29" i="106"/>
  <c r="V27" i="106"/>
  <c r="V26" i="106"/>
  <c r="H19" i="87"/>
  <c r="G11" i="98"/>
  <c r="I11" i="98"/>
  <c r="B28" i="82" l="1"/>
  <c r="C28" i="82"/>
  <c r="G24" i="81"/>
  <c r="I9" i="122"/>
  <c r="AJ25" i="79" l="1"/>
  <c r="AJ26" i="79" s="1"/>
  <c r="AK25" i="79"/>
  <c r="AK26" i="79" s="1"/>
  <c r="AL25" i="79"/>
  <c r="AL26" i="79" s="1"/>
  <c r="AM25" i="79"/>
  <c r="AM26" i="79" s="1"/>
  <c r="AN25" i="79"/>
  <c r="AN27" i="79" s="1"/>
  <c r="AO25" i="79"/>
  <c r="AO27" i="79" s="1"/>
  <c r="AP25" i="79"/>
  <c r="AP27" i="79" s="1"/>
  <c r="AQ7" i="79"/>
  <c r="AO26" i="79" l="1"/>
  <c r="AN26" i="79"/>
  <c r="AP26" i="79"/>
  <c r="AM27" i="79"/>
  <c r="AL27" i="79"/>
  <c r="AK27" i="79"/>
  <c r="AJ27" i="79"/>
  <c r="G23" i="106"/>
  <c r="G24" i="106"/>
  <c r="G25" i="106"/>
  <c r="G27" i="106"/>
  <c r="G28" i="106"/>
  <c r="G29" i="106"/>
  <c r="G32" i="106"/>
  <c r="G33" i="106"/>
  <c r="G34" i="106"/>
  <c r="G35" i="106"/>
  <c r="G38" i="106"/>
  <c r="G40" i="106"/>
  <c r="G41" i="106"/>
  <c r="G42" i="106"/>
  <c r="G43" i="106"/>
  <c r="G44" i="106"/>
  <c r="G45" i="106"/>
  <c r="B41" i="79" l="1"/>
  <c r="C41" i="79"/>
  <c r="C40" i="79"/>
  <c r="B40" i="79"/>
  <c r="AT14" i="79" l="1"/>
  <c r="AS7" i="79"/>
  <c r="AJ7" i="78"/>
  <c r="AI7" i="79"/>
  <c r="P7" i="78" l="1"/>
  <c r="F18" i="78" l="1"/>
  <c r="F19" i="78"/>
  <c r="F23" i="78"/>
  <c r="F24" i="78"/>
  <c r="F25" i="78"/>
  <c r="F26" i="78"/>
  <c r="AM7" i="78"/>
  <c r="AN7" i="78"/>
  <c r="AO7" i="78"/>
  <c r="AP7" i="78"/>
  <c r="AQ7" i="78"/>
  <c r="AR7" i="78"/>
  <c r="AL7" i="78"/>
  <c r="F26" i="79"/>
  <c r="F27" i="79"/>
  <c r="M25" i="79"/>
  <c r="F25" i="79"/>
  <c r="F23" i="79"/>
  <c r="F15" i="79"/>
  <c r="F14" i="79"/>
  <c r="AK7" i="79"/>
  <c r="AL7" i="79"/>
  <c r="AM7" i="79"/>
  <c r="AN7" i="79"/>
  <c r="AO7" i="79"/>
  <c r="AP7" i="79"/>
  <c r="AJ7" i="79"/>
  <c r="G7" i="112" l="1"/>
  <c r="F7" i="112"/>
  <c r="L7" i="80"/>
  <c r="K7" i="80"/>
  <c r="J7" i="80"/>
  <c r="I7" i="80"/>
  <c r="H7" i="80"/>
  <c r="G7" i="80"/>
  <c r="AV7" i="79"/>
  <c r="AW7" i="79"/>
  <c r="AX7" i="79"/>
  <c r="AY7" i="79"/>
  <c r="AZ7" i="79"/>
  <c r="BB7" i="79"/>
  <c r="BC7" i="79"/>
  <c r="BD7" i="79"/>
  <c r="BE7" i="79"/>
  <c r="BF7" i="79"/>
  <c r="BG7" i="79"/>
  <c r="BH7" i="79"/>
  <c r="BI7" i="79"/>
  <c r="AU7" i="79"/>
  <c r="AT7" i="79"/>
  <c r="AR7" i="79"/>
  <c r="V7" i="79"/>
  <c r="Q7" i="79"/>
  <c r="R7" i="79"/>
  <c r="S7" i="79"/>
  <c r="T7" i="79"/>
  <c r="U7" i="79"/>
  <c r="W7" i="79"/>
  <c r="X7" i="79"/>
  <c r="Y7" i="79"/>
  <c r="Z7" i="79"/>
  <c r="AA7" i="79"/>
  <c r="AB7" i="79"/>
  <c r="AC7" i="79"/>
  <c r="AD7" i="79"/>
  <c r="AE7" i="79"/>
  <c r="AF7" i="79"/>
  <c r="AG7" i="79"/>
  <c r="AH7" i="79"/>
  <c r="J7" i="79"/>
  <c r="K7" i="79"/>
  <c r="L7" i="79"/>
  <c r="M7" i="79"/>
  <c r="N7" i="79"/>
  <c r="O7" i="79"/>
  <c r="I7" i="79"/>
  <c r="G7" i="79"/>
  <c r="AT7" i="78"/>
  <c r="AU7" i="78"/>
  <c r="AV7" i="78"/>
  <c r="AW7" i="78"/>
  <c r="AX7" i="78"/>
  <c r="AY7" i="78"/>
  <c r="AZ7" i="78"/>
  <c r="BA7" i="78"/>
  <c r="BB7" i="78"/>
  <c r="BC7" i="78"/>
  <c r="BD7" i="78"/>
  <c r="BE7" i="78"/>
  <c r="BF7" i="78"/>
  <c r="BG7" i="78"/>
  <c r="BH7" i="78"/>
  <c r="BI7" i="78"/>
  <c r="BJ7" i="78"/>
  <c r="BK7" i="78"/>
  <c r="BL7" i="78"/>
  <c r="BM7" i="78"/>
  <c r="BN7" i="78"/>
  <c r="BO7" i="78"/>
  <c r="BP7" i="78"/>
  <c r="BU7" i="78"/>
  <c r="BZ7" i="78"/>
  <c r="CB7" i="78"/>
  <c r="CC7" i="78"/>
  <c r="R7" i="78"/>
  <c r="S7" i="78"/>
  <c r="T7" i="78"/>
  <c r="U7" i="78"/>
  <c r="V7" i="78"/>
  <c r="W7" i="78"/>
  <c r="X7" i="78"/>
  <c r="Y7" i="78"/>
  <c r="Z7" i="78"/>
  <c r="AA7" i="78"/>
  <c r="AB7" i="78"/>
  <c r="AC7" i="78"/>
  <c r="AD7" i="78"/>
  <c r="AE7" i="78"/>
  <c r="AF7" i="78"/>
  <c r="AG7" i="78"/>
  <c r="AH7" i="78"/>
  <c r="AI7" i="78"/>
  <c r="I7" i="78"/>
  <c r="J7" i="78"/>
  <c r="K7" i="78"/>
  <c r="L7" i="78"/>
  <c r="M7" i="78"/>
  <c r="N7" i="78"/>
  <c r="O7" i="78"/>
  <c r="Q7" i="78"/>
  <c r="G7" i="78"/>
  <c r="E8" i="81" l="1"/>
  <c r="C8" i="81"/>
  <c r="B8" i="81"/>
  <c r="C32" i="102" l="1"/>
  <c r="M57" i="127"/>
  <c r="M56" i="127"/>
  <c r="M75" i="118"/>
  <c r="M73" i="118"/>
  <c r="L76" i="118"/>
  <c r="L75" i="118"/>
  <c r="L74" i="118"/>
  <c r="L73" i="118"/>
  <c r="O138" i="92"/>
  <c r="P92" i="127"/>
  <c r="Q92" i="127"/>
  <c r="R92" i="127"/>
  <c r="S92" i="127"/>
  <c r="T92" i="127"/>
  <c r="U92" i="127"/>
  <c r="V92" i="127"/>
  <c r="P93" i="127"/>
  <c r="Q93" i="127"/>
  <c r="R93" i="127"/>
  <c r="S93" i="127"/>
  <c r="T93" i="127"/>
  <c r="U93" i="127"/>
  <c r="V93" i="127"/>
  <c r="P94" i="127"/>
  <c r="Q94" i="127"/>
  <c r="R94" i="127"/>
  <c r="S94" i="127"/>
  <c r="T94" i="127"/>
  <c r="U94" i="127"/>
  <c r="V94" i="127"/>
  <c r="P95" i="127"/>
  <c r="Q95" i="127"/>
  <c r="R95" i="127"/>
  <c r="S95" i="127"/>
  <c r="T95" i="127"/>
  <c r="U95" i="127"/>
  <c r="V95" i="127"/>
  <c r="P96" i="127"/>
  <c r="Q96" i="127"/>
  <c r="R96" i="127"/>
  <c r="S96" i="127"/>
  <c r="T96" i="127"/>
  <c r="U96" i="127"/>
  <c r="V96" i="127"/>
  <c r="P97" i="127"/>
  <c r="Q97" i="127"/>
  <c r="R97" i="127"/>
  <c r="S97" i="127"/>
  <c r="T97" i="127"/>
  <c r="U97" i="127"/>
  <c r="V97" i="127"/>
  <c r="P98" i="127"/>
  <c r="Q98" i="127"/>
  <c r="R98" i="127"/>
  <c r="S98" i="127"/>
  <c r="T98" i="127"/>
  <c r="U98" i="127"/>
  <c r="V98" i="127"/>
  <c r="P99" i="127"/>
  <c r="Q99" i="127"/>
  <c r="R99" i="127"/>
  <c r="S99" i="127"/>
  <c r="T99" i="127"/>
  <c r="U99" i="127"/>
  <c r="V99" i="127"/>
  <c r="P100" i="127"/>
  <c r="Q100" i="127"/>
  <c r="R100" i="127"/>
  <c r="S100" i="127"/>
  <c r="T100" i="127"/>
  <c r="U100" i="127"/>
  <c r="V100" i="127"/>
  <c r="P101" i="127"/>
  <c r="Q101" i="127"/>
  <c r="R101" i="127"/>
  <c r="S101" i="127"/>
  <c r="T101" i="127"/>
  <c r="U101" i="127"/>
  <c r="V101" i="127"/>
  <c r="P102" i="127"/>
  <c r="Q102" i="127"/>
  <c r="R102" i="127"/>
  <c r="S102" i="127"/>
  <c r="T102" i="127"/>
  <c r="U102" i="127"/>
  <c r="V102" i="127"/>
  <c r="P103" i="127"/>
  <c r="Q103" i="127"/>
  <c r="R103" i="127"/>
  <c r="S103" i="127"/>
  <c r="T103" i="127"/>
  <c r="U103" i="127"/>
  <c r="V103" i="127"/>
  <c r="P104" i="127"/>
  <c r="Q104" i="127"/>
  <c r="R104" i="127"/>
  <c r="S104" i="127"/>
  <c r="T104" i="127"/>
  <c r="U104" i="127"/>
  <c r="V104" i="127"/>
  <c r="P105" i="127"/>
  <c r="Q105" i="127"/>
  <c r="R105" i="127"/>
  <c r="S105" i="127"/>
  <c r="T105" i="127"/>
  <c r="U105" i="127"/>
  <c r="V105" i="127"/>
  <c r="M92" i="127"/>
  <c r="N92" i="127"/>
  <c r="O92" i="127"/>
  <c r="M93" i="127"/>
  <c r="N93" i="127"/>
  <c r="O93" i="127"/>
  <c r="M94" i="127"/>
  <c r="N94" i="127"/>
  <c r="O94" i="127"/>
  <c r="M95" i="127"/>
  <c r="N95" i="127"/>
  <c r="O95" i="127"/>
  <c r="M96" i="127"/>
  <c r="N96" i="127"/>
  <c r="O96" i="127"/>
  <c r="M97" i="127"/>
  <c r="N97" i="127"/>
  <c r="O97" i="127"/>
  <c r="M98" i="127"/>
  <c r="N98" i="127"/>
  <c r="O98" i="127"/>
  <c r="M99" i="127"/>
  <c r="N99" i="127"/>
  <c r="O99" i="127"/>
  <c r="M100" i="127"/>
  <c r="N100" i="127"/>
  <c r="O100" i="127"/>
  <c r="M101" i="127"/>
  <c r="N101" i="127"/>
  <c r="O101" i="127"/>
  <c r="M102" i="127"/>
  <c r="N102" i="127"/>
  <c r="O102" i="127"/>
  <c r="M103" i="127"/>
  <c r="N103" i="127"/>
  <c r="O103" i="127"/>
  <c r="M104" i="127"/>
  <c r="N104" i="127"/>
  <c r="O104" i="127"/>
  <c r="M105" i="127"/>
  <c r="N105" i="127"/>
  <c r="O105" i="127"/>
  <c r="L93" i="127"/>
  <c r="L94" i="127"/>
  <c r="L95" i="127"/>
  <c r="L96" i="127"/>
  <c r="L97" i="127"/>
  <c r="L98" i="127"/>
  <c r="L99" i="127"/>
  <c r="L100" i="127"/>
  <c r="L101" i="127"/>
  <c r="L102" i="127"/>
  <c r="L103" i="127"/>
  <c r="L104" i="127"/>
  <c r="L105" i="127"/>
  <c r="L92" i="127"/>
  <c r="P75" i="127"/>
  <c r="Q75" i="127"/>
  <c r="R75" i="127"/>
  <c r="P76" i="127"/>
  <c r="Q76" i="127"/>
  <c r="R76" i="127"/>
  <c r="P77" i="127"/>
  <c r="Q77" i="127"/>
  <c r="R77" i="127"/>
  <c r="P78" i="127"/>
  <c r="Q78" i="127"/>
  <c r="R78" i="127"/>
  <c r="P79" i="127"/>
  <c r="Q79" i="127"/>
  <c r="R79" i="127"/>
  <c r="P80" i="127"/>
  <c r="Q80" i="127"/>
  <c r="R80" i="127"/>
  <c r="P81" i="127"/>
  <c r="Q81" i="127"/>
  <c r="R81" i="127"/>
  <c r="P82" i="127"/>
  <c r="Q82" i="127"/>
  <c r="R82" i="127"/>
  <c r="P83" i="127"/>
  <c r="Q83" i="127"/>
  <c r="R83" i="127"/>
  <c r="P84" i="127"/>
  <c r="Q84" i="127"/>
  <c r="R84" i="127"/>
  <c r="P85" i="127"/>
  <c r="Q85" i="127"/>
  <c r="R85" i="127"/>
  <c r="P86" i="127"/>
  <c r="Q86" i="127"/>
  <c r="R86" i="127"/>
  <c r="P87" i="127"/>
  <c r="Q87" i="127"/>
  <c r="R87" i="127"/>
  <c r="P88" i="127"/>
  <c r="Q88" i="127"/>
  <c r="R88" i="127"/>
  <c r="N75" i="127"/>
  <c r="O75" i="127"/>
  <c r="N76" i="127"/>
  <c r="O76" i="127"/>
  <c r="N77" i="127"/>
  <c r="O77" i="127"/>
  <c r="N78" i="127"/>
  <c r="O78" i="127"/>
  <c r="N79" i="127"/>
  <c r="O79" i="127"/>
  <c r="N80" i="127"/>
  <c r="O80" i="127"/>
  <c r="N81" i="127"/>
  <c r="O81" i="127"/>
  <c r="N82" i="127"/>
  <c r="O82" i="127"/>
  <c r="N83" i="127"/>
  <c r="O83" i="127"/>
  <c r="N84" i="127"/>
  <c r="O84" i="127"/>
  <c r="N85" i="127"/>
  <c r="O85" i="127"/>
  <c r="N86" i="127"/>
  <c r="O86" i="127"/>
  <c r="N87" i="127"/>
  <c r="O87" i="127"/>
  <c r="N88" i="127"/>
  <c r="O88" i="127"/>
  <c r="M78" i="127"/>
  <c r="M79" i="127"/>
  <c r="M80" i="127"/>
  <c r="M82" i="127"/>
  <c r="M83" i="127"/>
  <c r="M85" i="127"/>
  <c r="M86" i="127"/>
  <c r="M87" i="127"/>
  <c r="M88" i="127"/>
  <c r="M75" i="127"/>
  <c r="N56" i="127"/>
  <c r="O56" i="127"/>
  <c r="N57" i="127"/>
  <c r="O57" i="127"/>
  <c r="D58" i="127"/>
  <c r="E58" i="127"/>
  <c r="F58" i="127"/>
  <c r="G58" i="127"/>
  <c r="H58" i="127"/>
  <c r="I58" i="127"/>
  <c r="J58" i="127"/>
  <c r="K58" i="127"/>
  <c r="L58" i="127"/>
  <c r="M58" i="127"/>
  <c r="N58" i="127"/>
  <c r="O58" i="127"/>
  <c r="D59" i="127"/>
  <c r="E59" i="127"/>
  <c r="F59" i="127"/>
  <c r="G59" i="127"/>
  <c r="H59" i="127"/>
  <c r="I59" i="127"/>
  <c r="J59" i="127"/>
  <c r="K59" i="127"/>
  <c r="L59" i="127"/>
  <c r="M59" i="127"/>
  <c r="N59" i="127"/>
  <c r="O59" i="127"/>
  <c r="D60" i="127"/>
  <c r="E60" i="127"/>
  <c r="F60" i="127"/>
  <c r="G60" i="127"/>
  <c r="H60" i="127"/>
  <c r="I60" i="127"/>
  <c r="J60" i="127"/>
  <c r="K60" i="127"/>
  <c r="L60" i="127"/>
  <c r="M60" i="127"/>
  <c r="N60" i="127"/>
  <c r="O60" i="127"/>
  <c r="D61" i="127"/>
  <c r="E61" i="127"/>
  <c r="F61" i="127"/>
  <c r="G61" i="127"/>
  <c r="H61" i="127"/>
  <c r="I61" i="127"/>
  <c r="J61" i="127"/>
  <c r="K61" i="127"/>
  <c r="L61" i="127"/>
  <c r="M61" i="127"/>
  <c r="N61" i="127"/>
  <c r="O61" i="127"/>
  <c r="D62" i="127"/>
  <c r="E62" i="127"/>
  <c r="F62" i="127"/>
  <c r="G62" i="127"/>
  <c r="H62" i="127"/>
  <c r="I62" i="127"/>
  <c r="J62" i="127"/>
  <c r="K62" i="127"/>
  <c r="L62" i="127"/>
  <c r="M62" i="127"/>
  <c r="N62" i="127"/>
  <c r="O62" i="127"/>
  <c r="D63" i="127"/>
  <c r="E63" i="127"/>
  <c r="F63" i="127"/>
  <c r="G63" i="127"/>
  <c r="H63" i="127"/>
  <c r="I63" i="127"/>
  <c r="J63" i="127"/>
  <c r="K63" i="127"/>
  <c r="L63" i="127"/>
  <c r="M63" i="127"/>
  <c r="N63" i="127"/>
  <c r="O63" i="127"/>
  <c r="D64" i="127"/>
  <c r="E64" i="127"/>
  <c r="F64" i="127"/>
  <c r="G64" i="127"/>
  <c r="H64" i="127"/>
  <c r="I64" i="127"/>
  <c r="J64" i="127"/>
  <c r="K64" i="127"/>
  <c r="L64" i="127"/>
  <c r="M64" i="127"/>
  <c r="N64" i="127"/>
  <c r="O64" i="127"/>
  <c r="D65" i="127"/>
  <c r="E65" i="127"/>
  <c r="F65" i="127"/>
  <c r="G65" i="127"/>
  <c r="H65" i="127"/>
  <c r="I65" i="127"/>
  <c r="J65" i="127"/>
  <c r="K65" i="127"/>
  <c r="L65" i="127"/>
  <c r="M65" i="127"/>
  <c r="N65" i="127"/>
  <c r="O65" i="127"/>
  <c r="D66" i="127"/>
  <c r="E66" i="127"/>
  <c r="F66" i="127"/>
  <c r="G66" i="127"/>
  <c r="H66" i="127"/>
  <c r="I66" i="127"/>
  <c r="J66" i="127"/>
  <c r="K66" i="127"/>
  <c r="L66" i="127"/>
  <c r="M66" i="127"/>
  <c r="N66" i="127"/>
  <c r="O66" i="127"/>
  <c r="D67" i="127"/>
  <c r="E67" i="127"/>
  <c r="F67" i="127"/>
  <c r="G67" i="127"/>
  <c r="H67" i="127"/>
  <c r="I67" i="127"/>
  <c r="J67" i="127"/>
  <c r="K67" i="127"/>
  <c r="L67" i="127"/>
  <c r="M67" i="127"/>
  <c r="N67" i="127"/>
  <c r="O67" i="127"/>
  <c r="D68" i="127"/>
  <c r="L68" i="127"/>
  <c r="M68" i="127"/>
  <c r="N68" i="127"/>
  <c r="O68" i="127"/>
  <c r="D69" i="127"/>
  <c r="L69" i="127"/>
  <c r="M69" i="127"/>
  <c r="N69" i="127"/>
  <c r="O69" i="127"/>
  <c r="D70" i="127"/>
  <c r="L70" i="127"/>
  <c r="M70" i="127"/>
  <c r="N70" i="127"/>
  <c r="O70" i="127"/>
  <c r="M55" i="127"/>
  <c r="N55" i="127"/>
  <c r="O55" i="127"/>
  <c r="D52" i="127"/>
  <c r="E52" i="127"/>
  <c r="F52" i="127"/>
  <c r="G52" i="127"/>
  <c r="H52" i="127"/>
  <c r="I52" i="127"/>
  <c r="J52" i="127"/>
  <c r="K52" i="127"/>
  <c r="L52" i="127"/>
  <c r="M52" i="127"/>
  <c r="N52" i="127"/>
  <c r="O52" i="127"/>
  <c r="I13" i="98" l="1"/>
  <c r="I14" i="98"/>
  <c r="I12" i="98"/>
  <c r="M106" i="98" s="1"/>
  <c r="I16" i="98"/>
  <c r="I15" i="98"/>
  <c r="I10" i="98" l="1"/>
  <c r="AW18" i="79" l="1"/>
  <c r="AY20" i="79"/>
  <c r="F56" i="127" s="1"/>
  <c r="BB19" i="79"/>
  <c r="H55" i="127" s="1"/>
  <c r="BB20" i="79"/>
  <c r="H56" i="127" s="1"/>
  <c r="BC19" i="79"/>
  <c r="I55" i="127" s="1"/>
  <c r="BC20" i="79"/>
  <c r="I56" i="127" s="1"/>
  <c r="BC21" i="79"/>
  <c r="I57" i="127" s="1"/>
  <c r="BD18" i="79"/>
  <c r="BD19" i="79"/>
  <c r="J55" i="127" s="1"/>
  <c r="BD20" i="79"/>
  <c r="J56" i="127" s="1"/>
  <c r="BD21" i="79"/>
  <c r="J57" i="127" s="1"/>
  <c r="O137" i="92"/>
  <c r="K164" i="92"/>
  <c r="J164" i="92"/>
  <c r="J163" i="92"/>
  <c r="I164" i="92"/>
  <c r="I163" i="92"/>
  <c r="L153" i="92"/>
  <c r="N154" i="92"/>
  <c r="N155" i="92"/>
  <c r="N156" i="92"/>
  <c r="N153" i="92"/>
  <c r="M156" i="92"/>
  <c r="M155" i="92"/>
  <c r="M154" i="92"/>
  <c r="L156" i="92"/>
  <c r="L155" i="92"/>
  <c r="L154" i="92"/>
  <c r="P138" i="92"/>
  <c r="O155" i="92" s="1"/>
  <c r="P139" i="92"/>
  <c r="O156" i="92" s="1"/>
  <c r="P156" i="92" s="1"/>
  <c r="P136" i="92"/>
  <c r="O153" i="92" s="1"/>
  <c r="H138" i="92"/>
  <c r="AX18" i="79"/>
  <c r="AY18" i="79"/>
  <c r="AZ18" i="79"/>
  <c r="BB18" i="79"/>
  <c r="BC18" i="79"/>
  <c r="BF18" i="79"/>
  <c r="G139" i="92"/>
  <c r="H139" i="92"/>
  <c r="I139" i="92"/>
  <c r="J139" i="92"/>
  <c r="K139" i="92"/>
  <c r="L139" i="92"/>
  <c r="M139" i="92"/>
  <c r="N139" i="92"/>
  <c r="F139" i="92"/>
  <c r="G138" i="92"/>
  <c r="I138" i="92"/>
  <c r="J138" i="92"/>
  <c r="K138" i="92"/>
  <c r="L138" i="92"/>
  <c r="M138" i="92"/>
  <c r="N138" i="92"/>
  <c r="F138" i="92"/>
  <c r="G137" i="92"/>
  <c r="H137" i="92"/>
  <c r="I137" i="92"/>
  <c r="J137" i="92"/>
  <c r="K137" i="92"/>
  <c r="L137" i="92"/>
  <c r="M137" i="92"/>
  <c r="N137" i="92"/>
  <c r="F137" i="92"/>
  <c r="G136" i="92"/>
  <c r="H136" i="92"/>
  <c r="I136" i="92"/>
  <c r="J136" i="92"/>
  <c r="K136" i="92"/>
  <c r="L136" i="92"/>
  <c r="M136" i="92"/>
  <c r="N136" i="92"/>
  <c r="BF19" i="79" s="1"/>
  <c r="L55" i="127" s="1"/>
  <c r="F136" i="92"/>
  <c r="AX21" i="79"/>
  <c r="E57" i="127" s="1"/>
  <c r="AW21" i="79"/>
  <c r="AW20" i="79"/>
  <c r="AW19" i="79"/>
  <c r="E128" i="92"/>
  <c r="E130" i="92" s="1"/>
  <c r="F128" i="92"/>
  <c r="G128" i="92"/>
  <c r="H128" i="92"/>
  <c r="I128" i="92"/>
  <c r="J128" i="92"/>
  <c r="J130" i="92" s="1"/>
  <c r="K128" i="92"/>
  <c r="L128" i="92"/>
  <c r="M128" i="92"/>
  <c r="M130" i="92" s="1"/>
  <c r="E129" i="92"/>
  <c r="F129" i="92"/>
  <c r="F130" i="92" s="1"/>
  <c r="G129" i="92"/>
  <c r="G130" i="92" s="1"/>
  <c r="H129" i="92"/>
  <c r="H130" i="92" s="1"/>
  <c r="I129" i="92"/>
  <c r="J129" i="92"/>
  <c r="K129" i="92"/>
  <c r="L129" i="92"/>
  <c r="M129" i="92"/>
  <c r="D129" i="92"/>
  <c r="D128" i="92"/>
  <c r="D130" i="92" s="1"/>
  <c r="D55" i="127" l="1"/>
  <c r="BA18" i="79"/>
  <c r="D57" i="127"/>
  <c r="D56" i="127"/>
  <c r="P155" i="92"/>
  <c r="AY21" i="79"/>
  <c r="F57" i="127" s="1"/>
  <c r="AY19" i="79"/>
  <c r="F55" i="127" s="1"/>
  <c r="AX19" i="79"/>
  <c r="E55" i="127" s="1"/>
  <c r="AZ19" i="79"/>
  <c r="G55" i="127" s="1"/>
  <c r="L130" i="92"/>
  <c r="K130" i="92"/>
  <c r="I130" i="92"/>
  <c r="BA19" i="79" l="1"/>
  <c r="K55" i="127"/>
  <c r="R55" i="127" s="1"/>
  <c r="AZ21" i="79"/>
  <c r="G57" i="127" s="1"/>
  <c r="AX20" i="79"/>
  <c r="I12" i="122"/>
  <c r="E11" i="122"/>
  <c r="E10" i="122"/>
  <c r="E9" i="122"/>
  <c r="E14" i="122" s="1"/>
  <c r="E8" i="122"/>
  <c r="H6" i="122"/>
  <c r="H11" i="122" s="1"/>
  <c r="G6" i="122"/>
  <c r="F6" i="122"/>
  <c r="F8" i="122" s="1"/>
  <c r="F10" i="122" s="1"/>
  <c r="H5" i="122"/>
  <c r="H10" i="122" s="1"/>
  <c r="G5" i="122"/>
  <c r="G9" i="122" s="1"/>
  <c r="F5" i="122"/>
  <c r="F9" i="122" s="1"/>
  <c r="BA21" i="79" l="1"/>
  <c r="E56" i="127"/>
  <c r="BB21" i="79"/>
  <c r="H57" i="127" s="1"/>
  <c r="K7" i="122"/>
  <c r="K9" i="122"/>
  <c r="G10" i="122"/>
  <c r="H7" i="122"/>
  <c r="H9" i="122" s="1"/>
  <c r="AZ20" i="79" l="1"/>
  <c r="BA20" i="79" s="1"/>
  <c r="G56" i="127" l="1"/>
  <c r="E25" i="106"/>
  <c r="E24" i="106"/>
  <c r="O33" i="84"/>
  <c r="O32" i="84"/>
  <c r="O29" i="84"/>
  <c r="R29" i="84" s="1"/>
  <c r="Q29" i="84"/>
  <c r="Q10" i="84" a="1"/>
  <c r="Q10" i="84"/>
  <c r="Q11" i="84" a="1"/>
  <c r="Q11" i="84" s="1"/>
  <c r="Q12" i="84" a="1"/>
  <c r="Q12" i="84" s="1"/>
  <c r="Q13" i="84" a="1"/>
  <c r="Q13" i="84"/>
  <c r="Q14" i="84" a="1"/>
  <c r="Q14" i="84" s="1"/>
  <c r="Q15" i="84" a="1"/>
  <c r="Q15" i="84" s="1"/>
  <c r="Q16" i="84" a="1"/>
  <c r="Q16" i="84"/>
  <c r="Q17" i="84" a="1"/>
  <c r="Q17" i="84" s="1"/>
  <c r="Q18" i="84" a="1"/>
  <c r="Q18" i="84" s="1"/>
  <c r="Q19" i="84" a="1"/>
  <c r="Q19" i="84" s="1"/>
  <c r="Q20" i="84" a="1"/>
  <c r="Q20" i="84" s="1"/>
  <c r="Q21" i="84" a="1"/>
  <c r="Q21" i="84" s="1"/>
  <c r="Q22" i="84" a="1"/>
  <c r="Q22" i="84"/>
  <c r="Q23" i="84" a="1"/>
  <c r="Q23" i="84" s="1"/>
  <c r="Q24" i="84" a="1"/>
  <c r="Q24" i="84" s="1"/>
  <c r="Q25" i="84" a="1"/>
  <c r="Q25" i="84"/>
  <c r="Q26" i="84" a="1"/>
  <c r="Q26" i="84" s="1"/>
  <c r="Q27" i="84" a="1"/>
  <c r="Q27" i="84" s="1"/>
  <c r="Q28" i="84" a="1"/>
  <c r="Q28" i="84" s="1"/>
  <c r="Q9" i="84" a="1"/>
  <c r="Q9" i="84" s="1"/>
  <c r="P29" i="84"/>
  <c r="P10" i="84"/>
  <c r="P11" i="84"/>
  <c r="P12" i="84"/>
  <c r="P13" i="84"/>
  <c r="P14" i="84"/>
  <c r="P15" i="84"/>
  <c r="P16" i="84"/>
  <c r="P17" i="84"/>
  <c r="P18" i="84"/>
  <c r="P19" i="84"/>
  <c r="P20" i="84"/>
  <c r="P21" i="84"/>
  <c r="P22" i="84"/>
  <c r="P23" i="84"/>
  <c r="P24" i="84"/>
  <c r="P25" i="84"/>
  <c r="P26" i="84"/>
  <c r="P27" i="84"/>
  <c r="P28" i="84"/>
  <c r="P9" i="84"/>
  <c r="P146" i="88"/>
  <c r="P145" i="88"/>
  <c r="P143" i="88"/>
  <c r="U114" i="88"/>
  <c r="U115" i="88"/>
  <c r="U116" i="88"/>
  <c r="U117" i="88"/>
  <c r="U118" i="88"/>
  <c r="U119" i="88"/>
  <c r="U120" i="88"/>
  <c r="U121" i="88"/>
  <c r="U122" i="88"/>
  <c r="U123" i="88"/>
  <c r="U124" i="88"/>
  <c r="U113" i="88"/>
  <c r="BF21" i="79" l="1"/>
  <c r="L57" i="127" s="1"/>
  <c r="K57" i="127"/>
  <c r="E90" i="116"/>
  <c r="E89" i="116"/>
  <c r="R57" i="127" l="1"/>
  <c r="H24" i="79"/>
  <c r="D188" i="116"/>
  <c r="BF20" i="79" l="1"/>
  <c r="L56" i="127" s="1"/>
  <c r="K56" i="127"/>
  <c r="E186" i="116"/>
  <c r="E188" i="116" s="1"/>
  <c r="L24" i="79" l="1"/>
  <c r="R56" i="127"/>
  <c r="F188" i="116" l="1"/>
  <c r="J24" i="79" s="1"/>
  <c r="AA4" i="99"/>
  <c r="D56" i="118" l="1"/>
  <c r="B32" i="102" l="1"/>
  <c r="BD10" i="79"/>
  <c r="AZ10" i="79"/>
  <c r="BA10" i="79" s="1"/>
  <c r="L13" i="80"/>
  <c r="H13" i="80"/>
  <c r="E181" i="116"/>
  <c r="F181" i="116"/>
  <c r="G181" i="116"/>
  <c r="H181" i="116"/>
  <c r="I181" i="116"/>
  <c r="J181" i="116"/>
  <c r="K181" i="116"/>
  <c r="I13" i="80" s="1"/>
  <c r="L181" i="116"/>
  <c r="M181" i="116"/>
  <c r="N181" i="116"/>
  <c r="O181" i="116"/>
  <c r="P181" i="116"/>
  <c r="J13" i="80" s="1"/>
  <c r="Q181" i="116"/>
  <c r="R181" i="116"/>
  <c r="S181" i="116"/>
  <c r="T181" i="116"/>
  <c r="U181" i="116"/>
  <c r="V181" i="116"/>
  <c r="W181" i="116"/>
  <c r="X181" i="116"/>
  <c r="Y181" i="116"/>
  <c r="Z181" i="116"/>
  <c r="K13" i="80" s="1"/>
  <c r="AA181" i="116"/>
  <c r="AB181" i="116"/>
  <c r="AC181" i="116"/>
  <c r="AD181" i="116"/>
  <c r="AE181" i="116"/>
  <c r="AF181" i="116"/>
  <c r="AG181" i="116"/>
  <c r="AH181" i="116"/>
  <c r="AI181" i="116"/>
  <c r="AJ181" i="116"/>
  <c r="D181" i="116"/>
  <c r="BG10" i="79" l="1"/>
  <c r="BH10" i="79" s="1"/>
  <c r="C17" i="102"/>
  <c r="M76" i="127"/>
  <c r="M77" i="127"/>
  <c r="C88" i="127"/>
  <c r="C87" i="127"/>
  <c r="C86" i="127"/>
  <c r="M84" i="127"/>
  <c r="C84" i="127"/>
  <c r="C83" i="127"/>
  <c r="C82" i="127"/>
  <c r="M81" i="127"/>
  <c r="C81" i="127"/>
  <c r="C80" i="127"/>
  <c r="C79" i="127"/>
  <c r="C78" i="127"/>
  <c r="C77" i="127"/>
  <c r="C76" i="127"/>
  <c r="C75" i="127"/>
  <c r="D47" i="118"/>
  <c r="D48" i="118"/>
  <c r="C28" i="102" l="1"/>
  <c r="K11" i="92"/>
  <c r="K12" i="92"/>
  <c r="K13" i="92"/>
  <c r="F46" i="118" l="1"/>
  <c r="G46" i="118"/>
  <c r="H46" i="118"/>
  <c r="E46" i="118"/>
  <c r="F39" i="118"/>
  <c r="E44" i="118"/>
  <c r="E39" i="118"/>
  <c r="E38" i="118"/>
  <c r="S43" i="118"/>
  <c r="R39" i="118"/>
  <c r="Q44" i="118"/>
  <c r="Q38" i="118"/>
  <c r="Q39" i="118"/>
  <c r="O39" i="118"/>
  <c r="N39" i="118"/>
  <c r="F37" i="118"/>
  <c r="E37" i="118"/>
  <c r="R37" i="118"/>
  <c r="Q37" i="118"/>
  <c r="R36" i="118"/>
  <c r="S36" i="118"/>
  <c r="Q36" i="118"/>
  <c r="O37" i="118"/>
  <c r="N37" i="118"/>
  <c r="O36" i="118"/>
  <c r="P36" i="118"/>
  <c r="N36" i="118"/>
  <c r="J38" i="118"/>
  <c r="J39" i="118"/>
  <c r="J40" i="118"/>
  <c r="J41" i="118"/>
  <c r="J42" i="118"/>
  <c r="J43" i="118"/>
  <c r="J44" i="118"/>
  <c r="J37" i="118"/>
  <c r="H44" i="118"/>
  <c r="G43" i="118"/>
  <c r="H43" i="118"/>
  <c r="G41" i="118"/>
  <c r="G42" i="118"/>
  <c r="G40" i="118"/>
  <c r="H39" i="118"/>
  <c r="H38" i="118"/>
  <c r="H37" i="118"/>
  <c r="P32" i="106" l="1"/>
  <c r="P33" i="106"/>
  <c r="O33" i="106"/>
  <c r="AF31" i="106"/>
  <c r="N31" i="106" s="1"/>
  <c r="AA31" i="106"/>
  <c r="N26" i="106"/>
  <c r="N27" i="106"/>
  <c r="N28" i="106"/>
  <c r="N29" i="106"/>
  <c r="N30" i="106"/>
  <c r="AH31" i="106"/>
  <c r="P31" i="106" s="1"/>
  <c r="AG31" i="106"/>
  <c r="O31" i="106" s="1"/>
  <c r="AH30" i="106"/>
  <c r="P30" i="106" s="1"/>
  <c r="AG30" i="106"/>
  <c r="O30" i="106" s="1"/>
  <c r="AH29" i="106"/>
  <c r="P29" i="106" s="1"/>
  <c r="AG29" i="106"/>
  <c r="O29" i="106" s="1"/>
  <c r="AH28" i="106"/>
  <c r="P28" i="106" s="1"/>
  <c r="AG28" i="106"/>
  <c r="O28" i="106" s="1"/>
  <c r="AH27" i="106"/>
  <c r="P27" i="106" s="1"/>
  <c r="AG27" i="106"/>
  <c r="O27" i="106" s="1"/>
  <c r="AH26" i="106"/>
  <c r="P26" i="106" s="1"/>
  <c r="AG26" i="106"/>
  <c r="O26" i="106" s="1"/>
  <c r="Z32" i="106"/>
  <c r="Z33" i="106"/>
  <c r="Z34" i="106"/>
  <c r="Z35" i="106"/>
  <c r="Z36" i="106"/>
  <c r="Z37" i="106"/>
  <c r="Z38" i="106"/>
  <c r="Z39" i="106"/>
  <c r="Z40" i="106"/>
  <c r="Z41" i="106"/>
  <c r="Z42" i="106"/>
  <c r="Z43" i="106"/>
  <c r="Z44" i="106"/>
  <c r="Z45" i="106"/>
  <c r="Z46" i="106"/>
  <c r="Z47" i="106"/>
  <c r="Z48" i="106"/>
  <c r="Z49" i="106"/>
  <c r="Z50" i="106"/>
  <c r="Z51" i="106"/>
  <c r="Z52" i="106"/>
  <c r="Z53" i="106"/>
  <c r="Z26" i="106"/>
  <c r="Z27" i="106"/>
  <c r="Z28" i="106"/>
  <c r="Z29" i="106"/>
  <c r="Z30" i="106"/>
  <c r="Z31" i="106"/>
  <c r="Y27" i="106"/>
  <c r="Y28" i="106"/>
  <c r="Y29" i="106"/>
  <c r="Y30" i="106"/>
  <c r="Y31" i="106"/>
  <c r="Y26" i="106"/>
  <c r="AC9" i="106"/>
  <c r="AC10" i="106"/>
  <c r="AC11" i="106"/>
  <c r="AC12" i="106"/>
  <c r="AC13" i="106"/>
  <c r="AC14" i="106"/>
  <c r="AC15" i="106"/>
  <c r="AC16" i="106"/>
  <c r="AC17" i="106"/>
  <c r="AC18" i="106"/>
  <c r="AC19" i="106"/>
  <c r="AC20" i="106"/>
  <c r="AC21" i="106"/>
  <c r="AC22" i="106"/>
  <c r="AC23" i="106"/>
  <c r="AC24" i="106"/>
  <c r="AC25" i="106"/>
  <c r="AC26" i="106"/>
  <c r="AC27" i="106"/>
  <c r="AC28" i="106"/>
  <c r="AC29" i="106"/>
  <c r="AC30" i="106"/>
  <c r="AC31" i="106"/>
  <c r="AB10" i="106"/>
  <c r="AB11" i="106"/>
  <c r="AB12" i="106"/>
  <c r="AB13" i="106"/>
  <c r="AB14" i="106"/>
  <c r="AB15" i="106"/>
  <c r="AB16" i="106"/>
  <c r="AB17" i="106"/>
  <c r="AB18" i="106"/>
  <c r="AB19" i="106"/>
  <c r="AB20" i="106"/>
  <c r="AB21" i="106"/>
  <c r="AB22" i="106"/>
  <c r="AB23" i="106"/>
  <c r="AB24" i="106"/>
  <c r="AB25" i="106"/>
  <c r="AB26" i="106"/>
  <c r="AB27" i="106"/>
  <c r="AB28" i="106"/>
  <c r="AB29" i="106"/>
  <c r="AB30" i="106"/>
  <c r="AB31" i="106"/>
  <c r="AB9" i="106"/>
  <c r="L10" i="106"/>
  <c r="L11" i="106"/>
  <c r="L12" i="106"/>
  <c r="L13" i="106"/>
  <c r="L14" i="106"/>
  <c r="L15" i="106"/>
  <c r="L16" i="106"/>
  <c r="L17" i="106"/>
  <c r="L18" i="106"/>
  <c r="L19" i="106"/>
  <c r="L20" i="106"/>
  <c r="L21" i="106"/>
  <c r="L22" i="106"/>
  <c r="L23" i="106"/>
  <c r="L24" i="106"/>
  <c r="L25" i="106"/>
  <c r="L9" i="106"/>
  <c r="AF25" i="106"/>
  <c r="N25" i="106" s="1"/>
  <c r="R25" i="106" s="1"/>
  <c r="AF24" i="106"/>
  <c r="AF23" i="106"/>
  <c r="N23" i="106" l="1"/>
  <c r="R23" i="106" s="1"/>
  <c r="N24" i="106"/>
  <c r="R24" i="106" s="1"/>
  <c r="AA25" i="106"/>
  <c r="AH25" i="106" s="1"/>
  <c r="AA24" i="106"/>
  <c r="AH24" i="106" s="1"/>
  <c r="AA23" i="106"/>
  <c r="AH23" i="106" s="1"/>
  <c r="AG23" i="106" s="1"/>
  <c r="S73" i="87"/>
  <c r="T73" i="87"/>
  <c r="S69" i="87"/>
  <c r="P24" i="106" l="1"/>
  <c r="T24" i="106" s="1"/>
  <c r="O24" i="106"/>
  <c r="S24" i="106" s="1"/>
  <c r="P25" i="106"/>
  <c r="T25" i="106" s="1"/>
  <c r="O25" i="106"/>
  <c r="S25" i="106" s="1"/>
  <c r="AG25" i="106"/>
  <c r="P23" i="106"/>
  <c r="T23" i="106" s="1"/>
  <c r="O23" i="106"/>
  <c r="S23" i="106" s="1"/>
  <c r="AG24" i="106"/>
  <c r="R65" i="87"/>
  <c r="AS7" i="78"/>
  <c r="B12" i="83"/>
  <c r="C12" i="83"/>
  <c r="D12" i="83"/>
  <c r="Q20" i="83"/>
  <c r="R22" i="83"/>
  <c r="R20" i="83"/>
  <c r="R21" i="83"/>
  <c r="AA19" i="99"/>
  <c r="AA18" i="99"/>
  <c r="Q21" i="83" l="1"/>
  <c r="Q22" i="83"/>
  <c r="H10" i="79"/>
  <c r="AC36" i="83"/>
  <c r="AA40" i="83"/>
  <c r="AB39" i="83" s="1"/>
  <c r="AC39" i="83" s="1"/>
  <c r="S34" i="83"/>
  <c r="Q34" i="83"/>
  <c r="X34" i="83" s="1"/>
  <c r="AB38" i="83" l="1"/>
  <c r="AC38" i="83" s="1"/>
  <c r="AB37" i="83"/>
  <c r="AC37" i="83" s="1"/>
  <c r="A9" i="83"/>
  <c r="A8" i="83"/>
  <c r="B11" i="83"/>
  <c r="C11" i="83"/>
  <c r="D11" i="83"/>
  <c r="C10" i="83"/>
  <c r="D10" i="83"/>
  <c r="B10" i="83"/>
  <c r="C27" i="102" l="1"/>
  <c r="C29" i="102"/>
  <c r="C26" i="102"/>
  <c r="S72" i="87"/>
  <c r="S71" i="87"/>
  <c r="S67" i="87"/>
  <c r="S68" i="87" s="1"/>
  <c r="T72" i="87"/>
  <c r="T71" i="87"/>
  <c r="R64" i="87"/>
  <c r="R63" i="87"/>
  <c r="R62" i="87"/>
  <c r="S39" i="87"/>
  <c r="T39" i="87" s="1"/>
  <c r="T56" i="87"/>
  <c r="T27" i="87"/>
  <c r="T28" i="87"/>
  <c r="T29" i="87"/>
  <c r="T30" i="87"/>
  <c r="T31" i="87"/>
  <c r="T32" i="87"/>
  <c r="T33" i="87"/>
  <c r="T34" i="87"/>
  <c r="T35" i="87"/>
  <c r="T36" i="87"/>
  <c r="T37" i="87"/>
  <c r="T51" i="87"/>
  <c r="T52" i="87"/>
  <c r="T53" i="87"/>
  <c r="T26" i="87"/>
  <c r="R56" i="87"/>
  <c r="R55" i="87"/>
  <c r="S42" i="87" l="1"/>
  <c r="T42" i="87" s="1"/>
  <c r="S40" i="87"/>
  <c r="R50" i="83"/>
  <c r="U44" i="83" s="1"/>
  <c r="T37" i="83"/>
  <c r="R41" i="83"/>
  <c r="R39" i="83"/>
  <c r="V42" i="83" l="1"/>
  <c r="W42" i="83" s="1"/>
  <c r="X42" i="83" s="1"/>
  <c r="X46" i="83"/>
  <c r="V40" i="83"/>
  <c r="W40" i="83" s="1"/>
  <c r="X40" i="83" s="1"/>
  <c r="V38" i="83"/>
  <c r="W38" i="83" s="1"/>
  <c r="V44" i="83"/>
  <c r="W44" i="83" s="1"/>
  <c r="X44" i="83" s="1"/>
  <c r="T40" i="87"/>
  <c r="S41" i="87"/>
  <c r="T41" i="87" s="1"/>
  <c r="X38" i="83"/>
  <c r="T67" i="87" l="1"/>
  <c r="X45" i="83"/>
  <c r="X47" i="83" s="1"/>
  <c r="R23" i="83" s="1"/>
  <c r="Y38" i="83" l="1"/>
  <c r="S21" i="83"/>
  <c r="S20" i="83"/>
  <c r="S22" i="83"/>
  <c r="R67" i="87"/>
  <c r="T68" i="87"/>
  <c r="Y42" i="83"/>
  <c r="Y40" i="83"/>
  <c r="Y44" i="83"/>
  <c r="R68" i="87" l="1"/>
  <c r="Q68" i="87" s="1"/>
  <c r="T69" i="87"/>
  <c r="R69" i="87" s="1"/>
  <c r="R71" i="87"/>
  <c r="Q67" i="87"/>
  <c r="R72" i="87" l="1"/>
  <c r="Q69" i="87"/>
  <c r="R73" i="87"/>
  <c r="U71" i="87"/>
  <c r="AO9" i="78" s="1"/>
  <c r="Q71" i="87"/>
  <c r="V71" i="87" s="1"/>
  <c r="U72" i="87" l="1"/>
  <c r="AP9" i="78" s="1"/>
  <c r="Q72" i="87"/>
  <c r="Q73" i="87"/>
  <c r="U73" i="87"/>
  <c r="AQ11" i="79" l="1"/>
  <c r="AQ12" i="79"/>
  <c r="AQ10" i="79"/>
  <c r="AQ9" i="79"/>
  <c r="AS9" i="78"/>
  <c r="AS10" i="78" s="1"/>
  <c r="AS11" i="78" s="1"/>
  <c r="AS12" i="78" s="1"/>
  <c r="AS13" i="78" s="1"/>
  <c r="AS14" i="78" s="1"/>
  <c r="AS15" i="78" s="1"/>
  <c r="AS16" i="78" s="1"/>
  <c r="AS17" i="78" s="1"/>
  <c r="AS18" i="78" s="1"/>
  <c r="AS19" i="78" s="1"/>
  <c r="AS20" i="78" s="1"/>
  <c r="AS21" i="78" s="1"/>
  <c r="AS22" i="78" s="1"/>
  <c r="AS24" i="78" s="1"/>
  <c r="D69" i="113"/>
  <c r="D68" i="113"/>
  <c r="S49" i="117" l="1"/>
  <c r="S41" i="117" l="1"/>
  <c r="S42" i="117" s="1"/>
  <c r="S40" i="117"/>
  <c r="S43" i="117" s="1"/>
  <c r="S50" i="117" s="1"/>
  <c r="S38" i="117"/>
  <c r="S36" i="117"/>
  <c r="D67" i="113"/>
  <c r="D66" i="113"/>
  <c r="D63" i="113"/>
  <c r="D60" i="113"/>
  <c r="D57" i="113"/>
  <c r="D53" i="113"/>
  <c r="D50" i="113"/>
  <c r="D47" i="113"/>
  <c r="D44" i="113"/>
  <c r="D41" i="113"/>
  <c r="D38" i="113"/>
  <c r="D35" i="113"/>
  <c r="D32" i="113"/>
  <c r="D29" i="113"/>
  <c r="D26" i="113"/>
  <c r="D23" i="113"/>
  <c r="D20" i="113"/>
  <c r="D17" i="113"/>
  <c r="D14" i="113"/>
  <c r="D11" i="113"/>
  <c r="N9" i="113"/>
  <c r="N10" i="113"/>
  <c r="N11" i="113"/>
  <c r="N12" i="113"/>
  <c r="N14" i="113"/>
  <c r="N15" i="113"/>
  <c r="N16" i="113"/>
  <c r="N18" i="113"/>
  <c r="N21" i="113"/>
  <c r="N22" i="113"/>
  <c r="N24" i="113"/>
  <c r="N8" i="113"/>
  <c r="O127" i="116"/>
  <c r="O126" i="116"/>
  <c r="U118" i="116"/>
  <c r="W117" i="116"/>
  <c r="E85" i="116"/>
  <c r="E84" i="116"/>
  <c r="N26" i="113" l="1"/>
  <c r="N25" i="113"/>
  <c r="N13" i="113"/>
  <c r="C87" i="116" l="1"/>
  <c r="S5" i="83" l="1"/>
  <c r="T5" i="83"/>
  <c r="U5" i="83"/>
  <c r="V5" i="83"/>
  <c r="R5" i="83"/>
  <c r="C9" i="83"/>
  <c r="D9" i="83"/>
  <c r="B9" i="83"/>
  <c r="T17" i="100" l="1"/>
  <c r="U17" i="100"/>
  <c r="V17" i="100"/>
  <c r="W17" i="100"/>
  <c r="S17" i="100"/>
  <c r="T15" i="100"/>
  <c r="T18" i="100" s="1" a="1"/>
  <c r="T18" i="100" s="1"/>
  <c r="U15" i="100"/>
  <c r="U18" i="100" s="1" a="1"/>
  <c r="U18" i="100" s="1"/>
  <c r="V15" i="100"/>
  <c r="V18" i="100" s="1" a="1"/>
  <c r="V18" i="100" s="1"/>
  <c r="W15" i="100"/>
  <c r="W18" i="100" s="1" a="1"/>
  <c r="W18" i="100" s="1"/>
  <c r="S15" i="100"/>
  <c r="S18" i="100" s="1" a="1"/>
  <c r="S18" i="100" s="1"/>
  <c r="T12" i="100" a="1"/>
  <c r="T12" i="100" s="1"/>
  <c r="T13" i="100" s="1"/>
  <c r="U12" i="100" a="1"/>
  <c r="U12" i="100" s="1"/>
  <c r="U13" i="100" s="1"/>
  <c r="I9" i="100" s="1"/>
  <c r="V12" i="100" a="1"/>
  <c r="V12" i="100" s="1"/>
  <c r="V13" i="100" s="1"/>
  <c r="J9" i="100" s="1"/>
  <c r="W12" i="100" a="1"/>
  <c r="W12" i="100" s="1"/>
  <c r="W13" i="100" s="1"/>
  <c r="K9" i="100" s="1"/>
  <c r="S12" i="100" a="1"/>
  <c r="S12" i="100" s="1"/>
  <c r="S13" i="100" s="1"/>
  <c r="S19" i="100" l="1"/>
  <c r="V19" i="100"/>
  <c r="U19" i="100"/>
  <c r="T19" i="100"/>
  <c r="W19" i="100"/>
  <c r="X12" i="100"/>
  <c r="X13" i="100" s="1"/>
  <c r="L9" i="100" s="1"/>
  <c r="V121" i="116" l="1"/>
  <c r="U121" i="116"/>
  <c r="C86" i="116"/>
  <c r="AK55" i="116"/>
  <c r="AK56" i="116"/>
  <c r="AK59" i="116"/>
  <c r="AK54" i="116"/>
  <c r="BM6" i="80"/>
  <c r="N10" i="80" s="1"/>
  <c r="D121" i="116"/>
  <c r="D122" i="116" s="1"/>
  <c r="C121" i="116"/>
  <c r="C122" i="116" s="1"/>
  <c r="E75" i="116"/>
  <c r="F75" i="116"/>
  <c r="F77" i="116" s="1" a="1"/>
  <c r="F77" i="116" s="1"/>
  <c r="G75" i="116"/>
  <c r="H75" i="116"/>
  <c r="H77" i="116" s="1" a="1"/>
  <c r="H77" i="116" s="1"/>
  <c r="D75" i="116"/>
  <c r="AG62" i="116"/>
  <c r="AG65" i="116" s="1"/>
  <c r="AG68" i="116" s="1"/>
  <c r="U62" i="116"/>
  <c r="U65" i="116"/>
  <c r="U68" i="116" s="1"/>
  <c r="AJ59" i="116"/>
  <c r="AJ62" i="116" s="1"/>
  <c r="AK62" i="116" s="1"/>
  <c r="AI59" i="116"/>
  <c r="AI62" i="116" s="1"/>
  <c r="AI65" i="116" s="1"/>
  <c r="AI68" i="116" s="1"/>
  <c r="AH59" i="116"/>
  <c r="AH62" i="116" s="1"/>
  <c r="AH65" i="116" s="1"/>
  <c r="AH68" i="116" s="1"/>
  <c r="AG59" i="116"/>
  <c r="AF59" i="116"/>
  <c r="AF62" i="116" s="1"/>
  <c r="AF65" i="116" s="1"/>
  <c r="AF68" i="116" s="1"/>
  <c r="AE59" i="116"/>
  <c r="AE62" i="116" s="1"/>
  <c r="AE65" i="116" s="1"/>
  <c r="AE68" i="116" s="1"/>
  <c r="AD59" i="116"/>
  <c r="AD62" i="116"/>
  <c r="AD65" i="116" s="1"/>
  <c r="AD68" i="116" s="1"/>
  <c r="AC59" i="116"/>
  <c r="AC62" i="116" s="1"/>
  <c r="AC65" i="116" s="1"/>
  <c r="AC68" i="116" s="1"/>
  <c r="AB59" i="116"/>
  <c r="AB62" i="116" s="1"/>
  <c r="AB65" i="116" s="1"/>
  <c r="AB68" i="116" s="1"/>
  <c r="AA59" i="116"/>
  <c r="AA62" i="116" s="1"/>
  <c r="AA65" i="116" s="1"/>
  <c r="AA68" i="116" s="1"/>
  <c r="Z59" i="116"/>
  <c r="Z62" i="116" s="1"/>
  <c r="Z65" i="116" s="1"/>
  <c r="Z68" i="116" s="1"/>
  <c r="Y59" i="116"/>
  <c r="Y62" i="116" s="1"/>
  <c r="Y65" i="116" s="1"/>
  <c r="Y68" i="116" s="1"/>
  <c r="X59" i="116"/>
  <c r="X62" i="116"/>
  <c r="X65" i="116" s="1"/>
  <c r="X68" i="116" s="1"/>
  <c r="W59" i="116"/>
  <c r="W62" i="116"/>
  <c r="W65" i="116" s="1"/>
  <c r="W68" i="116" s="1"/>
  <c r="V59" i="116"/>
  <c r="V62" i="116" s="1"/>
  <c r="V65" i="116" s="1"/>
  <c r="V68" i="116" s="1"/>
  <c r="U59" i="116"/>
  <c r="T59" i="116"/>
  <c r="T62" i="116" s="1"/>
  <c r="T65" i="116" s="1"/>
  <c r="T68" i="116" s="1"/>
  <c r="S59" i="116"/>
  <c r="S62" i="116" s="1"/>
  <c r="S65" i="116" s="1"/>
  <c r="S68" i="116" s="1"/>
  <c r="R59" i="116"/>
  <c r="R62" i="116" s="1"/>
  <c r="R65" i="116" s="1"/>
  <c r="R68" i="116" s="1"/>
  <c r="Q59" i="116"/>
  <c r="Q62" i="116" s="1"/>
  <c r="Q65" i="116" s="1"/>
  <c r="Q68" i="116" s="1"/>
  <c r="P59" i="116"/>
  <c r="P62" i="116" s="1"/>
  <c r="P65" i="116" s="1"/>
  <c r="P68" i="116" s="1"/>
  <c r="O59" i="116"/>
  <c r="O62" i="116" s="1"/>
  <c r="O65" i="116" s="1"/>
  <c r="O68" i="116" s="1"/>
  <c r="N59" i="116"/>
  <c r="M59" i="116"/>
  <c r="M62" i="116" s="1"/>
  <c r="M65" i="116" s="1"/>
  <c r="M68" i="116" s="1"/>
  <c r="L59" i="116"/>
  <c r="L62" i="116"/>
  <c r="L65" i="116" s="1"/>
  <c r="L68" i="116" s="1"/>
  <c r="K59" i="116"/>
  <c r="K62" i="116" s="1"/>
  <c r="K65" i="116" s="1"/>
  <c r="K68" i="116" s="1"/>
  <c r="J59" i="116"/>
  <c r="J62" i="116" s="1"/>
  <c r="J65" i="116" s="1"/>
  <c r="J68" i="116" s="1"/>
  <c r="I59" i="116"/>
  <c r="I62" i="116" s="1"/>
  <c r="I65" i="116" s="1"/>
  <c r="I68" i="116" s="1"/>
  <c r="H59" i="116"/>
  <c r="H62" i="116" s="1"/>
  <c r="H65" i="116" s="1"/>
  <c r="H68" i="116" s="1"/>
  <c r="G59" i="116"/>
  <c r="G62" i="116" s="1"/>
  <c r="G65" i="116" s="1"/>
  <c r="G68" i="116" s="1"/>
  <c r="F59" i="116"/>
  <c r="F62" i="116"/>
  <c r="F65" i="116" s="1"/>
  <c r="F68" i="116" s="1"/>
  <c r="E59" i="116"/>
  <c r="E62" i="116" s="1"/>
  <c r="E65" i="116" s="1"/>
  <c r="E68" i="116" s="1"/>
  <c r="D59" i="116"/>
  <c r="D62" i="116" s="1"/>
  <c r="D65" i="116" s="1"/>
  <c r="D68" i="116" s="1"/>
  <c r="AJ58" i="116"/>
  <c r="AJ61" i="116" s="1"/>
  <c r="AK61" i="116" s="1"/>
  <c r="AI58" i="116"/>
  <c r="AH58" i="116"/>
  <c r="AH61" i="116" s="1"/>
  <c r="AH64" i="116" s="1"/>
  <c r="AH67" i="116" s="1"/>
  <c r="AG58" i="116"/>
  <c r="AG61" i="116" s="1"/>
  <c r="AG64" i="116" s="1"/>
  <c r="AG67" i="116" s="1"/>
  <c r="AF58" i="116"/>
  <c r="AF61" i="116" s="1"/>
  <c r="AF64" i="116" s="1"/>
  <c r="AF67" i="116" s="1"/>
  <c r="AE58" i="116"/>
  <c r="AE61" i="116"/>
  <c r="AE64" i="116" s="1"/>
  <c r="AE67" i="116" s="1"/>
  <c r="AD58" i="116"/>
  <c r="AD61" i="116"/>
  <c r="AD64" i="116" s="1"/>
  <c r="AD67" i="116" s="1"/>
  <c r="AC58" i="116"/>
  <c r="AC61" i="116" s="1"/>
  <c r="AC64" i="116" s="1"/>
  <c r="AC67" i="116" s="1"/>
  <c r="AB58" i="116"/>
  <c r="AB61" i="116" s="1"/>
  <c r="AB64" i="116" s="1"/>
  <c r="AB67" i="116" s="1"/>
  <c r="AA58" i="116"/>
  <c r="AA61" i="116"/>
  <c r="AA64" i="116" s="1"/>
  <c r="AA67" i="116" s="1"/>
  <c r="Z58" i="116"/>
  <c r="Z61" i="116" s="1"/>
  <c r="Z64" i="116" s="1"/>
  <c r="Z67" i="116" s="1"/>
  <c r="Y58" i="116"/>
  <c r="Y61" i="116" s="1"/>
  <c r="Y64" i="116" s="1"/>
  <c r="Y67" i="116" s="1"/>
  <c r="X58" i="116"/>
  <c r="X61" i="116" s="1"/>
  <c r="X64" i="116" s="1"/>
  <c r="X67" i="116" s="1"/>
  <c r="W58" i="116"/>
  <c r="W61" i="116"/>
  <c r="W64" i="116" s="1"/>
  <c r="W67" i="116" s="1"/>
  <c r="V58" i="116"/>
  <c r="V61" i="116" s="1"/>
  <c r="V64" i="116" s="1"/>
  <c r="V67" i="116" s="1"/>
  <c r="U58" i="116"/>
  <c r="U61" i="116" s="1"/>
  <c r="U64" i="116" s="1"/>
  <c r="U67" i="116" s="1"/>
  <c r="T58" i="116"/>
  <c r="T61" i="116" s="1"/>
  <c r="T64" i="116" s="1"/>
  <c r="T67" i="116" s="1"/>
  <c r="S58" i="116"/>
  <c r="S61" i="116" s="1"/>
  <c r="S64" i="116" s="1"/>
  <c r="S67" i="116" s="1"/>
  <c r="R58" i="116"/>
  <c r="R61" i="116" s="1"/>
  <c r="R64" i="116" s="1"/>
  <c r="R67" i="116" s="1"/>
  <c r="Q58" i="116"/>
  <c r="Q61" i="116" s="1"/>
  <c r="Q64" i="116" s="1"/>
  <c r="Q67" i="116" s="1"/>
  <c r="P58" i="116"/>
  <c r="P61" i="116"/>
  <c r="P64" i="116" s="1"/>
  <c r="P67" i="116" s="1"/>
  <c r="O58" i="116"/>
  <c r="O61" i="116" s="1"/>
  <c r="O64" i="116" s="1"/>
  <c r="O67" i="116" s="1"/>
  <c r="N58" i="116"/>
  <c r="N61" i="116" s="1"/>
  <c r="N64" i="116" s="1"/>
  <c r="N67" i="116" s="1"/>
  <c r="M58" i="116"/>
  <c r="M61" i="116" s="1"/>
  <c r="M64" i="116" s="1"/>
  <c r="M67" i="116" s="1"/>
  <c r="L58" i="116"/>
  <c r="L61" i="116" s="1"/>
  <c r="L64" i="116" s="1"/>
  <c r="L67" i="116" s="1"/>
  <c r="K58" i="116"/>
  <c r="J58" i="116"/>
  <c r="J61" i="116" s="1"/>
  <c r="J64" i="116" s="1"/>
  <c r="J67" i="116" s="1"/>
  <c r="I58" i="116"/>
  <c r="I61" i="116" s="1"/>
  <c r="I64" i="116" s="1"/>
  <c r="I67" i="116" s="1"/>
  <c r="H58" i="116"/>
  <c r="H61" i="116" s="1"/>
  <c r="H64" i="116" s="1"/>
  <c r="H67" i="116" s="1"/>
  <c r="G58" i="116"/>
  <c r="G61" i="116" s="1"/>
  <c r="G64" i="116" s="1"/>
  <c r="G67" i="116" s="1"/>
  <c r="F58" i="116"/>
  <c r="F61" i="116" s="1"/>
  <c r="F64" i="116" s="1"/>
  <c r="F67" i="116" s="1"/>
  <c r="E58" i="116"/>
  <c r="E61" i="116" s="1"/>
  <c r="E64" i="116" s="1"/>
  <c r="E67" i="116" s="1"/>
  <c r="D58" i="116"/>
  <c r="D61" i="116" s="1"/>
  <c r="D64" i="116" s="1"/>
  <c r="D67" i="116" s="1"/>
  <c r="AJ57" i="116"/>
  <c r="AK57" i="116" s="1"/>
  <c r="AI57" i="116"/>
  <c r="AI60" i="116"/>
  <c r="AI63" i="116"/>
  <c r="AI66" i="116" s="1"/>
  <c r="AH57" i="116"/>
  <c r="AH60" i="116" s="1"/>
  <c r="AH63" i="116" s="1"/>
  <c r="AH66" i="116" s="1"/>
  <c r="AG57" i="116"/>
  <c r="AG60" i="116" s="1"/>
  <c r="AG63" i="116" s="1"/>
  <c r="AG66" i="116" s="1"/>
  <c r="AF57" i="116"/>
  <c r="AF60" i="116" s="1"/>
  <c r="AF63" i="116" s="1"/>
  <c r="AF66" i="116" s="1"/>
  <c r="AE57" i="116"/>
  <c r="AE60" i="116" s="1"/>
  <c r="AE63" i="116" s="1"/>
  <c r="AE66" i="116" s="1"/>
  <c r="AD57" i="116"/>
  <c r="AD60" i="116" s="1"/>
  <c r="AD63" i="116" s="1"/>
  <c r="AD66" i="116" s="1"/>
  <c r="AC57" i="116"/>
  <c r="AC60" i="116" s="1"/>
  <c r="AC63" i="116" s="1"/>
  <c r="AC66" i="116" s="1"/>
  <c r="AB57" i="116"/>
  <c r="AB60" i="116" s="1"/>
  <c r="AB63" i="116" s="1"/>
  <c r="AB66" i="116" s="1"/>
  <c r="AA57" i="116"/>
  <c r="AA60" i="116" s="1"/>
  <c r="AA63" i="116" s="1"/>
  <c r="AA66" i="116" s="1"/>
  <c r="Z57" i="116"/>
  <c r="Z60" i="116" s="1"/>
  <c r="Z63" i="116" s="1"/>
  <c r="Z66" i="116" s="1"/>
  <c r="Y57" i="116"/>
  <c r="Y60" i="116" s="1"/>
  <c r="Y63" i="116" s="1"/>
  <c r="Y66" i="116" s="1"/>
  <c r="X57" i="116"/>
  <c r="X60" i="116"/>
  <c r="X63" i="116" s="1"/>
  <c r="X66" i="116" s="1"/>
  <c r="W57" i="116"/>
  <c r="W60" i="116" s="1"/>
  <c r="W63" i="116" s="1"/>
  <c r="W66" i="116" s="1"/>
  <c r="V57" i="116"/>
  <c r="V60" i="116" s="1"/>
  <c r="V63" i="116" s="1"/>
  <c r="V66" i="116" s="1"/>
  <c r="U57" i="116"/>
  <c r="U60" i="116" s="1"/>
  <c r="U63" i="116" s="1"/>
  <c r="U66" i="116" s="1"/>
  <c r="T57" i="116"/>
  <c r="T60" i="116" s="1"/>
  <c r="T63" i="116" s="1"/>
  <c r="T66" i="116" s="1"/>
  <c r="S57" i="116"/>
  <c r="S60" i="116" s="1"/>
  <c r="S63" i="116" s="1"/>
  <c r="S66" i="116" s="1"/>
  <c r="R57" i="116"/>
  <c r="R60" i="116" s="1"/>
  <c r="R63" i="116" s="1"/>
  <c r="R66" i="116" s="1"/>
  <c r="Q57" i="116"/>
  <c r="Q60" i="116" s="1"/>
  <c r="Q63" i="116" s="1"/>
  <c r="Q66" i="116" s="1"/>
  <c r="P57" i="116"/>
  <c r="P60" i="116"/>
  <c r="P63" i="116" s="1"/>
  <c r="P66" i="116" s="1"/>
  <c r="O57" i="116"/>
  <c r="O60" i="116" s="1"/>
  <c r="O63" i="116" s="1"/>
  <c r="O66" i="116" s="1"/>
  <c r="N57" i="116"/>
  <c r="N60" i="116" s="1"/>
  <c r="N63" i="116" s="1"/>
  <c r="N66" i="116" s="1"/>
  <c r="M57" i="116"/>
  <c r="M60" i="116" s="1"/>
  <c r="M63" i="116" s="1"/>
  <c r="M66" i="116" s="1"/>
  <c r="L57" i="116"/>
  <c r="L60" i="116" s="1"/>
  <c r="L63" i="116" s="1"/>
  <c r="L66" i="116" s="1"/>
  <c r="K57" i="116"/>
  <c r="K60" i="116" s="1"/>
  <c r="K63" i="116" s="1"/>
  <c r="K66" i="116" s="1"/>
  <c r="J57" i="116"/>
  <c r="J60" i="116"/>
  <c r="J63" i="116" s="1"/>
  <c r="J66" i="116" s="1"/>
  <c r="I57" i="116"/>
  <c r="I60" i="116" s="1"/>
  <c r="I63" i="116" s="1"/>
  <c r="I66" i="116" s="1"/>
  <c r="H57" i="116"/>
  <c r="H60" i="116" s="1"/>
  <c r="H63" i="116" s="1"/>
  <c r="H66" i="116" s="1"/>
  <c r="G57" i="116"/>
  <c r="G60" i="116" s="1"/>
  <c r="G63" i="116" s="1"/>
  <c r="G66" i="116" s="1"/>
  <c r="F57" i="116"/>
  <c r="E57" i="116"/>
  <c r="E60" i="116"/>
  <c r="E63" i="116" s="1"/>
  <c r="E66" i="116" s="1"/>
  <c r="D57" i="116"/>
  <c r="D60" i="116" s="1"/>
  <c r="G79" i="116" a="1"/>
  <c r="G79" i="116" s="1"/>
  <c r="F78" i="116" a="1"/>
  <c r="F78" i="116" s="1"/>
  <c r="G77" i="116" a="1"/>
  <c r="G77" i="116" s="1"/>
  <c r="AI61" i="116"/>
  <c r="AI64" i="116"/>
  <c r="AI67" i="116" s="1"/>
  <c r="K61" i="116"/>
  <c r="K64" i="116" s="1"/>
  <c r="K67" i="116" s="1"/>
  <c r="N62" i="116"/>
  <c r="N65" i="116"/>
  <c r="N68" i="116" s="1"/>
  <c r="G78" i="116" a="1"/>
  <c r="G78" i="116" s="1"/>
  <c r="H78" i="116" a="1"/>
  <c r="H78" i="116" s="1"/>
  <c r="E79" i="116" a="1"/>
  <c r="E79" i="116" s="1"/>
  <c r="E77" i="116" a="1"/>
  <c r="E77" i="116" s="1"/>
  <c r="E78" i="116" a="1"/>
  <c r="E78" i="116" s="1"/>
  <c r="C22" i="102"/>
  <c r="I51" i="80"/>
  <c r="J51" i="80"/>
  <c r="K51" i="80"/>
  <c r="L51" i="80"/>
  <c r="H51" i="80"/>
  <c r="I42" i="116"/>
  <c r="B46" i="116"/>
  <c r="B47" i="116"/>
  <c r="Z3" i="99"/>
  <c r="S7" i="83" s="1"/>
  <c r="F18" i="93"/>
  <c r="M24" i="93"/>
  <c r="M28" i="93"/>
  <c r="L28" i="93"/>
  <c r="B28" i="93"/>
  <c r="M26" i="93"/>
  <c r="M22" i="93"/>
  <c r="L26" i="93"/>
  <c r="B26" i="93"/>
  <c r="L24" i="93"/>
  <c r="B24" i="93"/>
  <c r="L22" i="93"/>
  <c r="B22" i="93"/>
  <c r="H12" i="79"/>
  <c r="D65" i="113"/>
  <c r="D64" i="113"/>
  <c r="E49" i="106"/>
  <c r="D49" i="106"/>
  <c r="C26" i="79"/>
  <c r="C62" i="127" s="1"/>
  <c r="B26" i="79"/>
  <c r="K32" i="113" s="1"/>
  <c r="B69" i="113" s="1"/>
  <c r="G18" i="93"/>
  <c r="V35" i="106"/>
  <c r="W35" i="106" s="1"/>
  <c r="K35" i="106"/>
  <c r="J35" i="106"/>
  <c r="I35" i="106"/>
  <c r="H35" i="106"/>
  <c r="E35" i="106"/>
  <c r="C12" i="79"/>
  <c r="C35" i="106" s="1"/>
  <c r="B12" i="79"/>
  <c r="B35" i="106" s="1"/>
  <c r="L18" i="93"/>
  <c r="B18" i="93"/>
  <c r="AU25" i="78"/>
  <c r="AV25" i="78" s="1"/>
  <c r="C30" i="102"/>
  <c r="O59" i="84"/>
  <c r="O58" i="84"/>
  <c r="N57" i="84"/>
  <c r="M58" i="84"/>
  <c r="M59" i="84"/>
  <c r="AC10" i="93"/>
  <c r="AC33" i="93"/>
  <c r="AC34" i="93"/>
  <c r="AC29" i="93"/>
  <c r="AC28" i="93"/>
  <c r="AC27" i="93"/>
  <c r="AC21" i="93"/>
  <c r="E47" i="106"/>
  <c r="D47" i="106"/>
  <c r="M26" i="79"/>
  <c r="C24" i="79"/>
  <c r="C60" i="127" s="1"/>
  <c r="B24" i="79"/>
  <c r="G29" i="112"/>
  <c r="F29" i="112"/>
  <c r="J28" i="78"/>
  <c r="D62" i="113"/>
  <c r="D61" i="113"/>
  <c r="D59" i="113"/>
  <c r="D58" i="113"/>
  <c r="D56" i="113"/>
  <c r="D55" i="113"/>
  <c r="D52" i="113"/>
  <c r="D51" i="113"/>
  <c r="D49" i="113"/>
  <c r="D48" i="113"/>
  <c r="D46" i="113"/>
  <c r="D45" i="113"/>
  <c r="D43" i="113"/>
  <c r="D42" i="113"/>
  <c r="D40" i="113"/>
  <c r="D39" i="113"/>
  <c r="D37" i="113"/>
  <c r="D36" i="113"/>
  <c r="D34" i="113"/>
  <c r="D33" i="113"/>
  <c r="D31" i="113"/>
  <c r="D30" i="113"/>
  <c r="D28" i="113"/>
  <c r="D27" i="113"/>
  <c r="D25" i="113"/>
  <c r="D24" i="113"/>
  <c r="D22" i="113"/>
  <c r="D21" i="113"/>
  <c r="D19" i="113"/>
  <c r="D18" i="113"/>
  <c r="D16" i="113"/>
  <c r="D15" i="113"/>
  <c r="D13" i="113"/>
  <c r="D12" i="113"/>
  <c r="D10" i="113"/>
  <c r="J3" i="113"/>
  <c r="J5" i="113" s="1"/>
  <c r="D9" i="113"/>
  <c r="A8" i="113"/>
  <c r="B29" i="102"/>
  <c r="H20" i="87"/>
  <c r="G28" i="112"/>
  <c r="F28" i="112"/>
  <c r="G46" i="112"/>
  <c r="G44" i="112" s="1"/>
  <c r="F46" i="112"/>
  <c r="F44" i="112" s="1"/>
  <c r="G37" i="112"/>
  <c r="F37" i="112"/>
  <c r="F34" i="112"/>
  <c r="G34" i="112"/>
  <c r="F33" i="112"/>
  <c r="G33" i="112"/>
  <c r="G32" i="112"/>
  <c r="F32" i="112"/>
  <c r="G10" i="112"/>
  <c r="G11" i="112"/>
  <c r="G12" i="112"/>
  <c r="G13" i="112"/>
  <c r="G14" i="112"/>
  <c r="G15" i="112"/>
  <c r="G16" i="112"/>
  <c r="G17" i="112"/>
  <c r="G18" i="112"/>
  <c r="G19" i="112"/>
  <c r="G20" i="112"/>
  <c r="G21" i="112"/>
  <c r="G22" i="112"/>
  <c r="G23" i="112"/>
  <c r="F11" i="112"/>
  <c r="F12" i="112"/>
  <c r="F13" i="112"/>
  <c r="F14" i="112"/>
  <c r="F15" i="112"/>
  <c r="F16" i="112"/>
  <c r="F17" i="112"/>
  <c r="F18" i="112"/>
  <c r="F19" i="112"/>
  <c r="F20" i="112"/>
  <c r="F21" i="112"/>
  <c r="F22" i="112"/>
  <c r="F23" i="112"/>
  <c r="F10" i="112"/>
  <c r="E56" i="112"/>
  <c r="D56" i="112"/>
  <c r="E55" i="112"/>
  <c r="D55" i="112"/>
  <c r="E54" i="112"/>
  <c r="D54" i="112"/>
  <c r="E53" i="112"/>
  <c r="D53" i="112"/>
  <c r="E52" i="112"/>
  <c r="D52" i="112"/>
  <c r="E50" i="112"/>
  <c r="D50" i="112"/>
  <c r="E49" i="112"/>
  <c r="D49" i="112"/>
  <c r="E48" i="112"/>
  <c r="D48" i="112"/>
  <c r="E47" i="112"/>
  <c r="D47" i="112"/>
  <c r="E46" i="112"/>
  <c r="D46" i="112"/>
  <c r="E45" i="112"/>
  <c r="D45" i="112"/>
  <c r="E44" i="112"/>
  <c r="E43" i="112"/>
  <c r="D43" i="112"/>
  <c r="E42" i="112"/>
  <c r="D42" i="112"/>
  <c r="E41" i="112"/>
  <c r="D41" i="112"/>
  <c r="E40" i="112"/>
  <c r="D40" i="112"/>
  <c r="E39" i="112"/>
  <c r="D39" i="112"/>
  <c r="E38" i="112"/>
  <c r="D38" i="112"/>
  <c r="E37" i="112"/>
  <c r="D37" i="112"/>
  <c r="E36" i="112"/>
  <c r="D36" i="112"/>
  <c r="E35" i="112"/>
  <c r="D35" i="112"/>
  <c r="E34" i="112"/>
  <c r="E33" i="112"/>
  <c r="E32" i="112"/>
  <c r="E30" i="112"/>
  <c r="D30" i="112"/>
  <c r="E29" i="112"/>
  <c r="D29" i="112"/>
  <c r="E28" i="112"/>
  <c r="E27" i="112"/>
  <c r="D27" i="112"/>
  <c r="E26" i="112"/>
  <c r="D26" i="112"/>
  <c r="E25" i="112"/>
  <c r="D25" i="112"/>
  <c r="E24" i="112"/>
  <c r="D24" i="112"/>
  <c r="E23" i="112"/>
  <c r="D23" i="112"/>
  <c r="E22" i="112"/>
  <c r="E21" i="112"/>
  <c r="E20" i="112"/>
  <c r="E19" i="112"/>
  <c r="D19" i="112"/>
  <c r="E18" i="112"/>
  <c r="D18" i="112"/>
  <c r="E17" i="112"/>
  <c r="E16" i="112"/>
  <c r="E15" i="112"/>
  <c r="E14" i="112"/>
  <c r="E13" i="112"/>
  <c r="E12" i="112"/>
  <c r="E11" i="112"/>
  <c r="E10" i="112"/>
  <c r="E9" i="112"/>
  <c r="A8" i="112"/>
  <c r="B33" i="102"/>
  <c r="BN5" i="80"/>
  <c r="BN6" i="80"/>
  <c r="BN7" i="80"/>
  <c r="BN4" i="80"/>
  <c r="BM5" i="80"/>
  <c r="BM7" i="80"/>
  <c r="BM4" i="80"/>
  <c r="C33" i="102"/>
  <c r="AO50" i="92"/>
  <c r="AO48" i="92"/>
  <c r="AO49" i="92"/>
  <c r="AO47" i="92"/>
  <c r="AP47" i="92" s="1"/>
  <c r="J23" i="111"/>
  <c r="J24" i="111"/>
  <c r="J33" i="111"/>
  <c r="J32" i="111"/>
  <c r="J7" i="111"/>
  <c r="I7" i="111"/>
  <c r="E56" i="111"/>
  <c r="D56" i="111"/>
  <c r="E55" i="111"/>
  <c r="D55" i="111"/>
  <c r="E54" i="111"/>
  <c r="D54" i="111"/>
  <c r="E53" i="111"/>
  <c r="D53" i="111"/>
  <c r="E52" i="111"/>
  <c r="D52" i="111"/>
  <c r="E50" i="111"/>
  <c r="D50" i="111"/>
  <c r="E49" i="111"/>
  <c r="D49" i="111"/>
  <c r="E48" i="111"/>
  <c r="D48" i="111"/>
  <c r="E47" i="111"/>
  <c r="D47" i="111"/>
  <c r="E46" i="111"/>
  <c r="D46" i="111"/>
  <c r="E45" i="111"/>
  <c r="D45" i="111"/>
  <c r="E44" i="111"/>
  <c r="E43" i="111"/>
  <c r="D43" i="111"/>
  <c r="E42" i="111"/>
  <c r="D42" i="111"/>
  <c r="E41" i="111"/>
  <c r="D41" i="111"/>
  <c r="E40" i="111"/>
  <c r="D40" i="111"/>
  <c r="E39" i="111"/>
  <c r="D39" i="111"/>
  <c r="E38" i="111"/>
  <c r="D38" i="111"/>
  <c r="E37" i="111"/>
  <c r="D37" i="111"/>
  <c r="E36" i="111"/>
  <c r="D36" i="111"/>
  <c r="E35" i="111"/>
  <c r="D35" i="111"/>
  <c r="E34" i="111"/>
  <c r="E33" i="111"/>
  <c r="E32" i="111"/>
  <c r="E30" i="111"/>
  <c r="D30" i="111"/>
  <c r="E29" i="111"/>
  <c r="D29" i="111"/>
  <c r="E28" i="111"/>
  <c r="E27" i="111"/>
  <c r="D27" i="111"/>
  <c r="E26" i="111"/>
  <c r="D26" i="111"/>
  <c r="E25" i="111"/>
  <c r="D25" i="111"/>
  <c r="E24" i="111"/>
  <c r="D24" i="111"/>
  <c r="E23" i="111"/>
  <c r="D23" i="111"/>
  <c r="E22" i="111"/>
  <c r="E21" i="111"/>
  <c r="E20" i="111"/>
  <c r="E19" i="111"/>
  <c r="D19" i="111"/>
  <c r="E18" i="111"/>
  <c r="D18" i="111"/>
  <c r="E17" i="111"/>
  <c r="E16" i="111"/>
  <c r="E15" i="111"/>
  <c r="E14" i="111"/>
  <c r="E13" i="111"/>
  <c r="E12" i="111"/>
  <c r="E11" i="111"/>
  <c r="E10" i="111"/>
  <c r="E9" i="111"/>
  <c r="A8" i="111"/>
  <c r="B8" i="87"/>
  <c r="AG157" i="85"/>
  <c r="AH157" i="85" s="1"/>
  <c r="AI157" i="85" s="1"/>
  <c r="BH107" i="85"/>
  <c r="BH108" i="85"/>
  <c r="AQ102" i="85"/>
  <c r="BC102" i="85" s="1"/>
  <c r="AP101" i="85"/>
  <c r="BH102" i="85"/>
  <c r="AP104" i="85"/>
  <c r="BH104" i="85" s="1"/>
  <c r="BM105" i="85"/>
  <c r="BH106" i="85"/>
  <c r="AP110" i="85"/>
  <c r="BH110" i="85" s="1"/>
  <c r="BH112" i="85"/>
  <c r="BM113" i="85"/>
  <c r="BH114" i="85"/>
  <c r="BH100" i="85"/>
  <c r="AE168" i="85"/>
  <c r="AF168" i="85"/>
  <c r="AE167" i="85"/>
  <c r="AF167" i="85" s="1"/>
  <c r="AI166" i="85"/>
  <c r="AJ166" i="85" s="1"/>
  <c r="AK166" i="85" s="1"/>
  <c r="AL166" i="85" s="1"/>
  <c r="AE131" i="85" a="1"/>
  <c r="AE131" i="85" s="1"/>
  <c r="BD131" i="85" s="1"/>
  <c r="AK131" i="85" a="1"/>
  <c r="AK131" i="85" s="1"/>
  <c r="AM131" i="85" a="1"/>
  <c r="AM131" i="85" s="1"/>
  <c r="AA131" i="85" s="1"/>
  <c r="A131" i="85"/>
  <c r="C131" i="85" s="1"/>
  <c r="A130" i="85"/>
  <c r="C130" i="85" s="1"/>
  <c r="R95" i="85"/>
  <c r="S95" i="85" s="1"/>
  <c r="T95" i="85" s="1"/>
  <c r="U95" i="85" s="1"/>
  <c r="V95" i="85" s="1"/>
  <c r="W95" i="85" s="1"/>
  <c r="X95" i="85" s="1"/>
  <c r="Y95" i="85" s="1"/>
  <c r="Z95" i="85" s="1"/>
  <c r="AA95" i="85" s="1"/>
  <c r="AB95" i="85" s="1"/>
  <c r="AC95" i="85" s="1"/>
  <c r="R96" i="85"/>
  <c r="S96" i="85" s="1"/>
  <c r="T96" i="85" s="1"/>
  <c r="U96" i="85" s="1"/>
  <c r="V96" i="85" s="1"/>
  <c r="W96" i="85" s="1"/>
  <c r="X96" i="85" s="1"/>
  <c r="Y96" i="85" s="1"/>
  <c r="Z96" i="85" s="1"/>
  <c r="AA96" i="85" s="1"/>
  <c r="AB96" i="85" s="1"/>
  <c r="AC96" i="85" s="1"/>
  <c r="AE177" i="85"/>
  <c r="AF177" i="85"/>
  <c r="AG177" i="85"/>
  <c r="AH177" i="85"/>
  <c r="AI177" i="85"/>
  <c r="AJ177" i="85"/>
  <c r="AK177" i="85"/>
  <c r="AL177" i="85"/>
  <c r="AM177" i="85"/>
  <c r="AN177" i="85"/>
  <c r="AO177" i="85"/>
  <c r="AD177" i="85"/>
  <c r="AE176" i="85"/>
  <c r="AF176" i="85"/>
  <c r="AG176" i="85"/>
  <c r="AH176" i="85"/>
  <c r="AI176" i="85"/>
  <c r="AJ176" i="85"/>
  <c r="AK176" i="85"/>
  <c r="AL176" i="85"/>
  <c r="AM176" i="85"/>
  <c r="AN176" i="85"/>
  <c r="AO176" i="85"/>
  <c r="AE178" i="85"/>
  <c r="AF178" i="85"/>
  <c r="AG178" i="85"/>
  <c r="AH178" i="85"/>
  <c r="AI178" i="85"/>
  <c r="AJ178" i="85"/>
  <c r="AK178" i="85"/>
  <c r="AL178" i="85"/>
  <c r="AM178" i="85"/>
  <c r="AN178" i="85"/>
  <c r="AO178" i="85"/>
  <c r="AD178" i="85"/>
  <c r="AD176" i="85"/>
  <c r="AE175" i="85"/>
  <c r="AF175" i="85"/>
  <c r="AG175" i="85"/>
  <c r="AH175" i="85"/>
  <c r="AI175" i="85"/>
  <c r="AJ175" i="85"/>
  <c r="AK175" i="85"/>
  <c r="AL175" i="85"/>
  <c r="AM175" i="85"/>
  <c r="AN175" i="85"/>
  <c r="AO175" i="85"/>
  <c r="AD175" i="85"/>
  <c r="AB152" i="85"/>
  <c r="C117" i="85"/>
  <c r="AU30" i="78"/>
  <c r="AV30" i="78" s="1"/>
  <c r="AW30" i="78" s="1"/>
  <c r="AU27" i="78"/>
  <c r="AV27" i="78" s="1"/>
  <c r="AW27" i="78" s="1"/>
  <c r="BD26" i="78"/>
  <c r="BE26" i="78" s="1"/>
  <c r="BF26" i="78" s="1"/>
  <c r="AU26" i="78"/>
  <c r="AV26" i="78" s="1"/>
  <c r="AU29" i="78"/>
  <c r="AV29" i="78" s="1"/>
  <c r="BL131" i="85"/>
  <c r="A118" i="85"/>
  <c r="A119" i="85"/>
  <c r="A120" i="85"/>
  <c r="A121" i="85"/>
  <c r="A122" i="85"/>
  <c r="A123" i="85"/>
  <c r="A124" i="85"/>
  <c r="A125" i="85"/>
  <c r="A126" i="85"/>
  <c r="A127" i="85"/>
  <c r="A128" i="85"/>
  <c r="A129" i="85"/>
  <c r="A117" i="85"/>
  <c r="E25" i="110"/>
  <c r="F24" i="110"/>
  <c r="G24" i="110"/>
  <c r="E24" i="110"/>
  <c r="E22" i="110"/>
  <c r="E21" i="110"/>
  <c r="E20" i="110"/>
  <c r="E19" i="110"/>
  <c r="D19" i="110"/>
  <c r="E18" i="110"/>
  <c r="D18" i="110"/>
  <c r="E17" i="110"/>
  <c r="E16" i="110"/>
  <c r="E15" i="110"/>
  <c r="E14" i="110"/>
  <c r="E13" i="110"/>
  <c r="E12" i="110"/>
  <c r="E11" i="110"/>
  <c r="E10" i="110"/>
  <c r="E9" i="110"/>
  <c r="A8" i="110"/>
  <c r="B30" i="102"/>
  <c r="F25" i="110"/>
  <c r="V29" i="78"/>
  <c r="W29" i="78"/>
  <c r="X29" i="78"/>
  <c r="Y29" i="78"/>
  <c r="Z29" i="78"/>
  <c r="AA29" i="78"/>
  <c r="AB29" i="78"/>
  <c r="AC29" i="78"/>
  <c r="AD29" i="78"/>
  <c r="AE29" i="78"/>
  <c r="U29" i="78"/>
  <c r="AC75" i="85"/>
  <c r="X75" i="85"/>
  <c r="Y75" i="85"/>
  <c r="Z75" i="85"/>
  <c r="AA75" i="85"/>
  <c r="S75" i="85"/>
  <c r="T75" i="85"/>
  <c r="U75" i="85"/>
  <c r="V75" i="85"/>
  <c r="W75" i="85"/>
  <c r="AB75" i="85" s="1"/>
  <c r="AE99" i="85"/>
  <c r="AF99" i="85"/>
  <c r="AG99" i="85"/>
  <c r="AH99" i="85"/>
  <c r="AI99" i="85"/>
  <c r="AJ99" i="85"/>
  <c r="AK99" i="85"/>
  <c r="AL99" i="85"/>
  <c r="AM99" i="85"/>
  <c r="AN99" i="85"/>
  <c r="AO99" i="85"/>
  <c r="AD99" i="85"/>
  <c r="C101" i="85"/>
  <c r="AF101" i="85" s="1" a="1"/>
  <c r="AF101" i="85" s="1"/>
  <c r="T101" i="85" s="1"/>
  <c r="C102" i="85"/>
  <c r="AO102" i="85" s="1" a="1"/>
  <c r="AO102" i="85" s="1"/>
  <c r="AC102" i="85" s="1"/>
  <c r="C103" i="85"/>
  <c r="AD103" i="85" s="1" a="1"/>
  <c r="AD103" i="85" s="1"/>
  <c r="R103" i="85" s="1"/>
  <c r="C104" i="85"/>
  <c r="AM104" i="85" s="1" a="1"/>
  <c r="AM104" i="85" s="1"/>
  <c r="AA104" i="85" s="1"/>
  <c r="AH104" i="85" a="1"/>
  <c r="AH104" i="85" s="1"/>
  <c r="V104" i="85" s="1"/>
  <c r="C105" i="85"/>
  <c r="AM105" i="85" s="1" a="1"/>
  <c r="AM105" i="85" s="1"/>
  <c r="AA105" i="85" s="1"/>
  <c r="C106" i="85"/>
  <c r="AN106" i="85" s="1" a="1"/>
  <c r="AN106" i="85" s="1"/>
  <c r="AB106" i="85" s="1"/>
  <c r="C107" i="85"/>
  <c r="AE107" i="85" s="1" a="1"/>
  <c r="AE107" i="85" s="1"/>
  <c r="S107" i="85" s="1"/>
  <c r="V18" i="78" s="1"/>
  <c r="V19" i="78" s="1"/>
  <c r="C108" i="85"/>
  <c r="AL108" i="85" s="1" a="1"/>
  <c r="AL108" i="85" s="1"/>
  <c r="Z108" i="85" s="1"/>
  <c r="C109" i="85"/>
  <c r="AN109" i="85" s="1" a="1"/>
  <c r="AN109" i="85" s="1"/>
  <c r="AB109" i="85" s="1"/>
  <c r="C110" i="85"/>
  <c r="AI110" i="85" s="1" a="1"/>
  <c r="AI110" i="85" s="1"/>
  <c r="C111" i="85"/>
  <c r="AK111" i="85" s="1" a="1"/>
  <c r="AK111" i="85" s="1"/>
  <c r="Y111" i="85" s="1"/>
  <c r="C112" i="85"/>
  <c r="AH112" i="85" s="1" a="1"/>
  <c r="AH112" i="85" s="1"/>
  <c r="V112" i="85" s="1"/>
  <c r="C113" i="85"/>
  <c r="AK113" i="85" s="1" a="1"/>
  <c r="AK113" i="85" s="1"/>
  <c r="Y113" i="85" s="1"/>
  <c r="AG113" i="85" a="1"/>
  <c r="AG113" i="85" s="1"/>
  <c r="U113" i="85" s="1"/>
  <c r="C114" i="85"/>
  <c r="AF114" i="85" s="1" a="1"/>
  <c r="AF114" i="85" s="1"/>
  <c r="T114" i="85" s="1"/>
  <c r="C100" i="85"/>
  <c r="AD100" i="85" s="1" a="1"/>
  <c r="AD100" i="85" s="1"/>
  <c r="R100" i="85" s="1"/>
  <c r="AD104" i="85" a="1"/>
  <c r="AD104" i="85" s="1"/>
  <c r="R104" i="85" s="1"/>
  <c r="AL110" i="85" a="1"/>
  <c r="AL110" i="85" s="1"/>
  <c r="Z110" i="85" s="1"/>
  <c r="AF104" i="85" a="1"/>
  <c r="AF104" i="85" s="1"/>
  <c r="T104" i="85" s="1"/>
  <c r="AG109" i="85" a="1"/>
  <c r="AG109" i="85" s="1"/>
  <c r="U109" i="85" s="1"/>
  <c r="AL107" i="85" a="1"/>
  <c r="AL107" i="85" s="1"/>
  <c r="Z107" i="85" s="1"/>
  <c r="AI101" i="85" a="1"/>
  <c r="AI101" i="85" s="1"/>
  <c r="AD107" i="85" a="1"/>
  <c r="AD107" i="85" s="1"/>
  <c r="R107" i="85" s="1"/>
  <c r="AM114" i="85" a="1"/>
  <c r="AM114" i="85" s="1"/>
  <c r="AA114" i="85" s="1"/>
  <c r="AF112" i="85" a="1"/>
  <c r="AF112" i="85" s="1"/>
  <c r="T112" i="85" s="1"/>
  <c r="AK102" i="85" a="1"/>
  <c r="AK102" i="85" s="1"/>
  <c r="Y102" i="85" s="1"/>
  <c r="AH102" i="85" a="1"/>
  <c r="AH102" i="85" s="1"/>
  <c r="AG102" i="85" a="1"/>
  <c r="AG102" i="85" s="1"/>
  <c r="AJ108" i="85" a="1"/>
  <c r="AJ108" i="85" s="1"/>
  <c r="X108" i="85" s="1"/>
  <c r="AD108" i="85" a="1"/>
  <c r="AD108" i="85"/>
  <c r="R108" i="85" s="1"/>
  <c r="AN104" i="85" a="1"/>
  <c r="AN104" i="85" s="1"/>
  <c r="AB104" i="85" s="1"/>
  <c r="AF113" i="85" a="1"/>
  <c r="AF113" i="85" s="1"/>
  <c r="T113" i="85" s="1"/>
  <c r="AN110" i="85" a="1"/>
  <c r="AN110" i="85" s="1"/>
  <c r="AB110" i="85" s="1"/>
  <c r="AO113" i="85" a="1"/>
  <c r="AO113" i="85" s="1"/>
  <c r="AC113" i="85" s="1"/>
  <c r="AJ111" i="85" a="1"/>
  <c r="AJ111" i="85" s="1"/>
  <c r="X111" i="85" s="1"/>
  <c r="AL105" i="85" a="1"/>
  <c r="AL105" i="85" s="1"/>
  <c r="Z105" i="85" s="1"/>
  <c r="AO104" i="85" a="1"/>
  <c r="AO104" i="85" s="1"/>
  <c r="AC104" i="85" s="1"/>
  <c r="AD112" i="85" a="1"/>
  <c r="AD112" i="85" s="1"/>
  <c r="R112" i="85" s="1"/>
  <c r="AL114" i="85" a="1"/>
  <c r="AL114" i="85" s="1"/>
  <c r="Z114" i="85" s="1"/>
  <c r="AN113" i="85" a="1"/>
  <c r="AN113" i="85" s="1"/>
  <c r="AB113" i="85" s="1"/>
  <c r="AE113" i="85" a="1"/>
  <c r="AE113" i="85" s="1"/>
  <c r="S113" i="85" s="1"/>
  <c r="AG112" i="85" a="1"/>
  <c r="AG112" i="85" s="1"/>
  <c r="U112" i="85" s="1"/>
  <c r="AK108" i="85" a="1"/>
  <c r="AK108" i="85" s="1"/>
  <c r="Y108" i="85" s="1"/>
  <c r="AI106" i="85" a="1"/>
  <c r="AI106" i="85" s="1"/>
  <c r="AG104" i="85" a="1"/>
  <c r="AG104" i="85" s="1"/>
  <c r="U104" i="85" s="1"/>
  <c r="AE100" i="85" a="1"/>
  <c r="AE100" i="85" s="1"/>
  <c r="S100" i="85" s="1"/>
  <c r="AE112" i="85" a="1"/>
  <c r="AE112" i="85"/>
  <c r="S112" i="85" s="1"/>
  <c r="AK110" i="85" a="1"/>
  <c r="AK110" i="85" s="1"/>
  <c r="Y110" i="85" s="1"/>
  <c r="AI108" i="85" a="1"/>
  <c r="AI108" i="85" s="1"/>
  <c r="AE104" i="85" a="1"/>
  <c r="AE104" i="85" s="1"/>
  <c r="S104" i="85" s="1"/>
  <c r="AH101" i="85" a="1"/>
  <c r="AH101" i="85" s="1"/>
  <c r="V101" i="85" s="1"/>
  <c r="AH106" i="85" a="1"/>
  <c r="AH106" i="85"/>
  <c r="V106" i="85" s="1"/>
  <c r="AD111" i="85" a="1"/>
  <c r="AD111" i="85" s="1"/>
  <c r="R111" i="85" s="1"/>
  <c r="AO112" i="85" a="1"/>
  <c r="AO112" i="85" s="1"/>
  <c r="AC112" i="85" s="1"/>
  <c r="AJ110" i="85" a="1"/>
  <c r="AJ110" i="85" s="1"/>
  <c r="X110" i="85" s="1"/>
  <c r="AH108" i="85" a="1"/>
  <c r="AH108" i="85" s="1"/>
  <c r="V108" i="85" s="1"/>
  <c r="AO106" i="85" a="1"/>
  <c r="AO106" i="85" s="1"/>
  <c r="AC106" i="85" s="1"/>
  <c r="AH103" i="85" a="1"/>
  <c r="AH103" i="85" s="1"/>
  <c r="V103" i="85" s="1"/>
  <c r="AD110" i="85" a="1"/>
  <c r="AD110" i="85" s="1"/>
  <c r="R110" i="85" s="1"/>
  <c r="AI111" i="85" a="1"/>
  <c r="AI111" i="85"/>
  <c r="W111" i="85" s="1"/>
  <c r="AL113" i="85" a="1"/>
  <c r="AL113" i="85" s="1"/>
  <c r="Z113" i="85" s="1"/>
  <c r="AM112" i="85" a="1"/>
  <c r="AM112" i="85" s="1"/>
  <c r="AA112" i="85" s="1"/>
  <c r="AO111" i="85" a="1"/>
  <c r="AO111" i="85" s="1"/>
  <c r="AC111" i="85" s="1"/>
  <c r="AL104" i="85" a="1"/>
  <c r="AL104" i="85" s="1"/>
  <c r="Z104" i="85" s="1"/>
  <c r="AD109" i="85" a="1"/>
  <c r="AD109" i="85" s="1"/>
  <c r="R109" i="85" s="1"/>
  <c r="AL112" i="85" a="1"/>
  <c r="AL112" i="85"/>
  <c r="Z112" i="85" s="1"/>
  <c r="AO108" i="85" a="1"/>
  <c r="AO108" i="85" s="1"/>
  <c r="AC108" i="85" s="1"/>
  <c r="AG108" i="85" a="1"/>
  <c r="AG108" i="85" s="1"/>
  <c r="U108" i="85" s="1"/>
  <c r="AM106" i="85" a="1"/>
  <c r="AM106" i="85" s="1"/>
  <c r="AA106" i="85" s="1"/>
  <c r="AE106" i="85" a="1"/>
  <c r="AE106" i="85" s="1"/>
  <c r="S106" i="85" s="1"/>
  <c r="AG103" i="85" a="1"/>
  <c r="AG103" i="85"/>
  <c r="U103" i="85" s="1"/>
  <c r="AJ102" i="85" a="1"/>
  <c r="AJ102" i="85" s="1"/>
  <c r="X102" i="85" s="1"/>
  <c r="AJ113" i="85" a="1"/>
  <c r="AJ113" i="85" s="1"/>
  <c r="X113" i="85" s="1"/>
  <c r="AK112" i="85" a="1"/>
  <c r="AK112" i="85"/>
  <c r="Y112" i="85" s="1"/>
  <c r="AE111" i="85" a="1"/>
  <c r="AE111" i="85" s="1"/>
  <c r="S111" i="85" s="1"/>
  <c r="AN108" i="85" a="1"/>
  <c r="AN108" i="85" s="1"/>
  <c r="AB108" i="85" s="1"/>
  <c r="AJ104" i="85" a="1"/>
  <c r="AJ104" i="85" s="1"/>
  <c r="X104" i="85" s="1"/>
  <c r="AI113" i="85" a="1"/>
  <c r="AI113" i="85" s="1"/>
  <c r="W113" i="85" s="1"/>
  <c r="AM111" i="85" a="1"/>
  <c r="AM111" i="85" s="1"/>
  <c r="AA111" i="85" s="1"/>
  <c r="AH110" i="85" a="1"/>
  <c r="AH110" i="85" s="1"/>
  <c r="V110" i="85" s="1"/>
  <c r="AF108" i="85" a="1"/>
  <c r="AF108" i="85" s="1"/>
  <c r="T108" i="85" s="1"/>
  <c r="AO105" i="85" a="1"/>
  <c r="AO105" i="85" s="1"/>
  <c r="AC105" i="85" s="1"/>
  <c r="AG105" i="85" a="1"/>
  <c r="AG105" i="85" s="1"/>
  <c r="U105" i="85" s="1"/>
  <c r="AM103" i="85" a="1"/>
  <c r="AM103" i="85" s="1"/>
  <c r="AA103" i="85" s="1"/>
  <c r="AE101" i="85" a="1"/>
  <c r="AE101" i="85" s="1"/>
  <c r="S101" i="85" s="1"/>
  <c r="AH113" i="85" a="1"/>
  <c r="AH113" i="85" s="1"/>
  <c r="V113" i="85" s="1"/>
  <c r="AJ112" i="85" a="1"/>
  <c r="AJ112" i="85"/>
  <c r="X112" i="85" s="1"/>
  <c r="AM108" i="85" a="1"/>
  <c r="AM108" i="85"/>
  <c r="AA108" i="85" s="1"/>
  <c r="AK106" i="85" a="1"/>
  <c r="AK106" i="85" s="1"/>
  <c r="Y106" i="85" s="1"/>
  <c r="AI104" i="85" a="1"/>
  <c r="AI104" i="85" s="1"/>
  <c r="AE103" i="85" a="1"/>
  <c r="AE103" i="85" s="1"/>
  <c r="S103" i="85" s="1"/>
  <c r="AG110" i="85" a="1"/>
  <c r="AG110" i="85" s="1"/>
  <c r="AE108" i="85" a="1"/>
  <c r="AE108" i="85" s="1"/>
  <c r="S108" i="85" s="1"/>
  <c r="AI112" i="85" a="1"/>
  <c r="AI112" i="85"/>
  <c r="AF110" i="85" a="1"/>
  <c r="AF110" i="85" s="1"/>
  <c r="T110" i="85" s="1"/>
  <c r="M9" i="81"/>
  <c r="M7" i="81"/>
  <c r="M24" i="81"/>
  <c r="I109" i="94" a="1"/>
  <c r="I109" i="94"/>
  <c r="H109" i="94" a="1"/>
  <c r="H109" i="94"/>
  <c r="G109" i="94"/>
  <c r="G109" i="94" a="1"/>
  <c r="F109" i="94" a="1"/>
  <c r="F109" i="94"/>
  <c r="I108" i="94" a="1"/>
  <c r="I108" i="94"/>
  <c r="H108" i="94"/>
  <c r="H108" i="94" a="1"/>
  <c r="G108" i="94" a="1"/>
  <c r="G108" i="94"/>
  <c r="F108" i="94" a="1"/>
  <c r="F108" i="94"/>
  <c r="I107" i="94"/>
  <c r="I107" i="94" a="1"/>
  <c r="H107" i="94" a="1"/>
  <c r="H107" i="94"/>
  <c r="G107" i="94" a="1"/>
  <c r="G107" i="94"/>
  <c r="F107" i="94"/>
  <c r="F107" i="94" a="1"/>
  <c r="I106" i="94" a="1"/>
  <c r="I106" i="94"/>
  <c r="H106" i="94" a="1"/>
  <c r="H106" i="94"/>
  <c r="G106" i="94"/>
  <c r="G106" i="94" a="1"/>
  <c r="F106" i="94" a="1"/>
  <c r="F106" i="94"/>
  <c r="I105" i="94" a="1"/>
  <c r="I105" i="94"/>
  <c r="H105" i="94"/>
  <c r="H105" i="94" a="1"/>
  <c r="G105" i="94" a="1"/>
  <c r="G105" i="94"/>
  <c r="F105" i="94" a="1"/>
  <c r="F105" i="94"/>
  <c r="I104" i="94"/>
  <c r="I104" i="94" a="1"/>
  <c r="H104" i="94" a="1"/>
  <c r="H104" i="94"/>
  <c r="G104" i="94" a="1"/>
  <c r="G104" i="94"/>
  <c r="F104" i="94"/>
  <c r="F104" i="94" a="1"/>
  <c r="I103" i="94" a="1"/>
  <c r="I103" i="94"/>
  <c r="H103" i="94" a="1"/>
  <c r="H103" i="94"/>
  <c r="G103" i="94"/>
  <c r="G103" i="94" a="1"/>
  <c r="F103" i="94" a="1"/>
  <c r="F103" i="94"/>
  <c r="I102" i="94" a="1"/>
  <c r="I102" i="94"/>
  <c r="H102" i="94"/>
  <c r="H102" i="94" a="1"/>
  <c r="G102" i="94" a="1"/>
  <c r="G102" i="94"/>
  <c r="F102" i="94" a="1"/>
  <c r="F102" i="94"/>
  <c r="I101" i="94"/>
  <c r="I101" i="94" a="1"/>
  <c r="H101" i="94" a="1"/>
  <c r="H101" i="94"/>
  <c r="G101" i="94" a="1"/>
  <c r="G101" i="94"/>
  <c r="F101" i="94"/>
  <c r="F101" i="94" a="1"/>
  <c r="I100" i="94" a="1"/>
  <c r="I100" i="94"/>
  <c r="H100" i="94" a="1"/>
  <c r="H100" i="94"/>
  <c r="G100" i="94"/>
  <c r="G100" i="94" a="1"/>
  <c r="F100" i="94" a="1"/>
  <c r="F100" i="94"/>
  <c r="I99" i="94" a="1"/>
  <c r="I99" i="94"/>
  <c r="H99" i="94"/>
  <c r="H99" i="94" a="1"/>
  <c r="G99" i="94" a="1"/>
  <c r="G99" i="94"/>
  <c r="F99" i="94" a="1"/>
  <c r="F99" i="94"/>
  <c r="I98" i="94"/>
  <c r="I98" i="94" a="1"/>
  <c r="H98" i="94" a="1"/>
  <c r="H98" i="94"/>
  <c r="G98" i="94" a="1"/>
  <c r="G98" i="94"/>
  <c r="F98" i="94"/>
  <c r="F98" i="94" a="1"/>
  <c r="I97" i="94" a="1"/>
  <c r="I97" i="94"/>
  <c r="H97" i="94" a="1"/>
  <c r="H97" i="94"/>
  <c r="G97" i="94"/>
  <c r="G97" i="94" a="1"/>
  <c r="F97" i="94" a="1"/>
  <c r="F97" i="94"/>
  <c r="I96" i="94" a="1"/>
  <c r="I96" i="94"/>
  <c r="H96" i="94"/>
  <c r="H96" i="94" a="1"/>
  <c r="G96" i="94" a="1"/>
  <c r="G96" i="94"/>
  <c r="F96" i="94" a="1"/>
  <c r="F96" i="94"/>
  <c r="I95" i="94"/>
  <c r="I95" i="94" a="1"/>
  <c r="H95" i="94" a="1"/>
  <c r="H95" i="94"/>
  <c r="G95" i="94" a="1"/>
  <c r="G95" i="94"/>
  <c r="F95" i="94"/>
  <c r="F95" i="94" a="1"/>
  <c r="I94" i="94" a="1"/>
  <c r="I94" i="94"/>
  <c r="H94" i="94" a="1"/>
  <c r="H94" i="94"/>
  <c r="G94" i="94"/>
  <c r="G94" i="94" a="1"/>
  <c r="F94" i="94" a="1"/>
  <c r="F94" i="94"/>
  <c r="I93" i="94" a="1"/>
  <c r="I93" i="94"/>
  <c r="H93" i="94"/>
  <c r="H93" i="94" a="1"/>
  <c r="G93" i="94" a="1"/>
  <c r="G93" i="94"/>
  <c r="F93" i="94" a="1"/>
  <c r="F93" i="94"/>
  <c r="I92" i="94"/>
  <c r="I92" i="94" a="1"/>
  <c r="H92" i="94" a="1"/>
  <c r="H92" i="94"/>
  <c r="G92" i="94" a="1"/>
  <c r="G92" i="94"/>
  <c r="F92" i="94"/>
  <c r="F92" i="94" a="1"/>
  <c r="I91" i="94" a="1"/>
  <c r="I91" i="94"/>
  <c r="H91" i="94" a="1"/>
  <c r="H91" i="94"/>
  <c r="G91" i="94"/>
  <c r="G91" i="94" a="1"/>
  <c r="F91" i="94" a="1"/>
  <c r="F91" i="94"/>
  <c r="I90" i="94" a="1"/>
  <c r="I90" i="94"/>
  <c r="H90" i="94"/>
  <c r="H90" i="94" a="1"/>
  <c r="G90" i="94" a="1"/>
  <c r="G90" i="94"/>
  <c r="F90" i="94" a="1"/>
  <c r="F90" i="94"/>
  <c r="I89" i="94"/>
  <c r="I89" i="94" a="1"/>
  <c r="H89" i="94" a="1"/>
  <c r="H89" i="94"/>
  <c r="G89" i="94" a="1"/>
  <c r="G89" i="94"/>
  <c r="F89" i="94"/>
  <c r="F89" i="94" a="1"/>
  <c r="I88" i="94" a="1"/>
  <c r="I88" i="94"/>
  <c r="H88" i="94" a="1"/>
  <c r="H88" i="94"/>
  <c r="G88" i="94"/>
  <c r="G88" i="94" a="1"/>
  <c r="F88" i="94" a="1"/>
  <c r="F88" i="94"/>
  <c r="I87" i="94" a="1"/>
  <c r="I87" i="94"/>
  <c r="H87" i="94"/>
  <c r="H87" i="94" a="1"/>
  <c r="G87" i="94" a="1"/>
  <c r="G87" i="94"/>
  <c r="F87" i="94" a="1"/>
  <c r="F87" i="94"/>
  <c r="I86" i="94" a="1"/>
  <c r="I86" i="94"/>
  <c r="H86" i="94" a="1"/>
  <c r="H86" i="94"/>
  <c r="G86" i="94" a="1"/>
  <c r="G86" i="94"/>
  <c r="F86" i="94"/>
  <c r="F86" i="94" a="1"/>
  <c r="I85" i="94" a="1"/>
  <c r="I85" i="94"/>
  <c r="H85" i="94" a="1"/>
  <c r="H85" i="94"/>
  <c r="G85" i="94" a="1"/>
  <c r="G85" i="94"/>
  <c r="F85" i="94" a="1"/>
  <c r="F85" i="94"/>
  <c r="I84" i="94" a="1"/>
  <c r="I84" i="94"/>
  <c r="H84" i="94"/>
  <c r="H84" i="94" a="1"/>
  <c r="G84" i="94" a="1"/>
  <c r="G84" i="94"/>
  <c r="F84" i="94" a="1"/>
  <c r="F84" i="94"/>
  <c r="I83" i="94" a="1"/>
  <c r="I83" i="94"/>
  <c r="H83" i="94" a="1"/>
  <c r="H83" i="94"/>
  <c r="G83" i="94" a="1"/>
  <c r="G83" i="94"/>
  <c r="F83" i="94"/>
  <c r="F83" i="94" a="1"/>
  <c r="I82" i="94" a="1"/>
  <c r="I82" i="94"/>
  <c r="H82" i="94" a="1"/>
  <c r="H82" i="94"/>
  <c r="G82" i="94" a="1"/>
  <c r="G82" i="94"/>
  <c r="F82" i="94" a="1"/>
  <c r="F82" i="94"/>
  <c r="I81" i="94" a="1"/>
  <c r="I81" i="94"/>
  <c r="H81" i="94"/>
  <c r="H81" i="94" a="1"/>
  <c r="G81" i="94" a="1"/>
  <c r="G81" i="94"/>
  <c r="F81" i="94" a="1"/>
  <c r="F81" i="94"/>
  <c r="I80" i="94" a="1"/>
  <c r="I80" i="94"/>
  <c r="H80" i="94" a="1"/>
  <c r="H80" i="94"/>
  <c r="G80" i="94" a="1"/>
  <c r="G80" i="94"/>
  <c r="F80" i="94"/>
  <c r="F80" i="94" a="1"/>
  <c r="I79" i="94" a="1"/>
  <c r="I79" i="94"/>
  <c r="H79" i="94" a="1"/>
  <c r="H79" i="94"/>
  <c r="G79" i="94" a="1"/>
  <c r="G79" i="94"/>
  <c r="F79" i="94" a="1"/>
  <c r="F79" i="94"/>
  <c r="I78" i="94" a="1"/>
  <c r="I78" i="94"/>
  <c r="H78" i="94"/>
  <c r="H78" i="94" a="1"/>
  <c r="G78" i="94" a="1"/>
  <c r="G78" i="94"/>
  <c r="F78" i="94" a="1"/>
  <c r="F78" i="94"/>
  <c r="I77" i="94" a="1"/>
  <c r="I77" i="94"/>
  <c r="H77" i="94" a="1"/>
  <c r="H77" i="94"/>
  <c r="G77" i="94" a="1"/>
  <c r="G77" i="94"/>
  <c r="F77" i="94"/>
  <c r="F77" i="94" a="1"/>
  <c r="I76" i="94" a="1"/>
  <c r="I76" i="94"/>
  <c r="H76" i="94" a="1"/>
  <c r="H76" i="94"/>
  <c r="G76" i="94" a="1"/>
  <c r="G76" i="94"/>
  <c r="F76" i="94" a="1"/>
  <c r="F76" i="94"/>
  <c r="I75" i="94" a="1"/>
  <c r="I75" i="94"/>
  <c r="H75" i="94"/>
  <c r="H75" i="94" a="1"/>
  <c r="G75" i="94" a="1"/>
  <c r="G75" i="94"/>
  <c r="F75" i="94" a="1"/>
  <c r="F75" i="94"/>
  <c r="I74" i="94" a="1"/>
  <c r="I74" i="94"/>
  <c r="H74" i="94" a="1"/>
  <c r="H74" i="94"/>
  <c r="G74" i="94" a="1"/>
  <c r="G74" i="94"/>
  <c r="F74" i="94"/>
  <c r="F74" i="94" a="1"/>
  <c r="I73" i="94" a="1"/>
  <c r="I73" i="94"/>
  <c r="H73" i="94" a="1"/>
  <c r="H73" i="94"/>
  <c r="G73" i="94" a="1"/>
  <c r="G73" i="94"/>
  <c r="F73" i="94" a="1"/>
  <c r="F73" i="94"/>
  <c r="I72" i="94" a="1"/>
  <c r="I72" i="94"/>
  <c r="H72" i="94"/>
  <c r="H72" i="94" a="1"/>
  <c r="G72" i="94" a="1"/>
  <c r="G72" i="94"/>
  <c r="F72" i="94" a="1"/>
  <c r="F72" i="94"/>
  <c r="I71" i="94" a="1"/>
  <c r="I71" i="94"/>
  <c r="H71" i="94" a="1"/>
  <c r="H71" i="94"/>
  <c r="G71" i="94" a="1"/>
  <c r="G71" i="94"/>
  <c r="F71" i="94"/>
  <c r="F71" i="94" a="1"/>
  <c r="I70" i="94" a="1"/>
  <c r="I70" i="94"/>
  <c r="H70" i="94" a="1"/>
  <c r="H70" i="94"/>
  <c r="G70" i="94" a="1"/>
  <c r="G70" i="94"/>
  <c r="F70" i="94" a="1"/>
  <c r="F70" i="94"/>
  <c r="I69" i="94" a="1"/>
  <c r="I69" i="94"/>
  <c r="H69" i="94"/>
  <c r="H69" i="94" a="1"/>
  <c r="G69" i="94" a="1"/>
  <c r="G69" i="94"/>
  <c r="F69" i="94" a="1"/>
  <c r="F69" i="94"/>
  <c r="I68" i="94" a="1"/>
  <c r="I68" i="94"/>
  <c r="H68" i="94" a="1"/>
  <c r="H68" i="94"/>
  <c r="G68" i="94" a="1"/>
  <c r="G68" i="94"/>
  <c r="F68" i="94"/>
  <c r="F68" i="94" a="1"/>
  <c r="I67" i="94" a="1"/>
  <c r="I67" i="94"/>
  <c r="H67" i="94" a="1"/>
  <c r="H67" i="94"/>
  <c r="G67" i="94" a="1"/>
  <c r="G67" i="94"/>
  <c r="F67" i="94" a="1"/>
  <c r="F67" i="94"/>
  <c r="I66" i="94" a="1"/>
  <c r="I66" i="94"/>
  <c r="H66" i="94"/>
  <c r="H66" i="94" a="1"/>
  <c r="G66" i="94" a="1"/>
  <c r="G66" i="94"/>
  <c r="F66" i="94" a="1"/>
  <c r="F66" i="94"/>
  <c r="I65" i="94" a="1"/>
  <c r="I65" i="94"/>
  <c r="H65" i="94" a="1"/>
  <c r="H65" i="94"/>
  <c r="G65" i="94" a="1"/>
  <c r="G65" i="94"/>
  <c r="F65" i="94"/>
  <c r="F65" i="94" a="1"/>
  <c r="I64" i="94" a="1"/>
  <c r="I64" i="94"/>
  <c r="H64" i="94" a="1"/>
  <c r="H64" i="94"/>
  <c r="G64" i="94" a="1"/>
  <c r="G64" i="94"/>
  <c r="F64" i="94" a="1"/>
  <c r="F64" i="94"/>
  <c r="I63" i="94" a="1"/>
  <c r="I63" i="94"/>
  <c r="H63" i="94"/>
  <c r="H63" i="94" a="1"/>
  <c r="G63" i="94" a="1"/>
  <c r="G63" i="94"/>
  <c r="F63" i="94" a="1"/>
  <c r="F63" i="94"/>
  <c r="I62" i="94" a="1"/>
  <c r="I62" i="94"/>
  <c r="H62" i="94" a="1"/>
  <c r="H62" i="94"/>
  <c r="G62" i="94" a="1"/>
  <c r="G62" i="94"/>
  <c r="F62" i="94"/>
  <c r="F62" i="94" a="1"/>
  <c r="I61" i="94" a="1"/>
  <c r="I61" i="94"/>
  <c r="H61" i="94" a="1"/>
  <c r="H61" i="94"/>
  <c r="G61" i="94" a="1"/>
  <c r="G61" i="94"/>
  <c r="F61" i="94" a="1"/>
  <c r="F61" i="94"/>
  <c r="I60" i="94" a="1"/>
  <c r="I60" i="94"/>
  <c r="H60" i="94"/>
  <c r="H60" i="94" a="1"/>
  <c r="G60" i="94" a="1"/>
  <c r="G60" i="94"/>
  <c r="F60" i="94" a="1"/>
  <c r="F60" i="94"/>
  <c r="I59" i="94" a="1"/>
  <c r="I59" i="94"/>
  <c r="H59" i="94" a="1"/>
  <c r="H59" i="94"/>
  <c r="G59" i="94" a="1"/>
  <c r="G59" i="94"/>
  <c r="F59" i="94"/>
  <c r="F59" i="94" a="1"/>
  <c r="I58" i="94" a="1"/>
  <c r="I58" i="94"/>
  <c r="H58" i="94" a="1"/>
  <c r="H58" i="94"/>
  <c r="G58" i="94" a="1"/>
  <c r="G58" i="94"/>
  <c r="F58" i="94" a="1"/>
  <c r="F58" i="94"/>
  <c r="I57" i="94" a="1"/>
  <c r="I57" i="94"/>
  <c r="H57" i="94"/>
  <c r="H57" i="94" a="1"/>
  <c r="G57" i="94" a="1"/>
  <c r="G57" i="94"/>
  <c r="F57" i="94" a="1"/>
  <c r="F57" i="94"/>
  <c r="I56" i="94" a="1"/>
  <c r="I56" i="94"/>
  <c r="H56" i="94" a="1"/>
  <c r="H56" i="94"/>
  <c r="G56" i="94" a="1"/>
  <c r="G56" i="94"/>
  <c r="F56" i="94"/>
  <c r="F56" i="94" a="1"/>
  <c r="I55" i="94" a="1"/>
  <c r="I55" i="94"/>
  <c r="H55" i="94" a="1"/>
  <c r="H55" i="94"/>
  <c r="G55" i="94" a="1"/>
  <c r="G55" i="94"/>
  <c r="F55" i="94" a="1"/>
  <c r="F55" i="94"/>
  <c r="I54" i="94" a="1"/>
  <c r="I54" i="94"/>
  <c r="H54" i="94"/>
  <c r="H54" i="94" a="1"/>
  <c r="G54" i="94" a="1"/>
  <c r="G54" i="94"/>
  <c r="F54" i="94" a="1"/>
  <c r="F54" i="94"/>
  <c r="I53" i="94" a="1"/>
  <c r="I53" i="94"/>
  <c r="H53" i="94" a="1"/>
  <c r="H53" i="94"/>
  <c r="G53" i="94" a="1"/>
  <c r="G53" i="94"/>
  <c r="F53" i="94"/>
  <c r="F53" i="94" a="1"/>
  <c r="I52" i="94" a="1"/>
  <c r="I52" i="94"/>
  <c r="H52" i="94" a="1"/>
  <c r="H52" i="94"/>
  <c r="G52" i="94" a="1"/>
  <c r="G52" i="94"/>
  <c r="F52" i="94" a="1"/>
  <c r="F52" i="94"/>
  <c r="I51" i="94" a="1"/>
  <c r="I51" i="94"/>
  <c r="H51" i="94"/>
  <c r="H51" i="94" a="1"/>
  <c r="G51" i="94" a="1"/>
  <c r="G51" i="94"/>
  <c r="F51" i="94" a="1"/>
  <c r="F51" i="94"/>
  <c r="I50" i="94" a="1"/>
  <c r="I50" i="94"/>
  <c r="H50" i="94" a="1"/>
  <c r="H50" i="94"/>
  <c r="G50" i="94" a="1"/>
  <c r="G50" i="94"/>
  <c r="F50" i="94"/>
  <c r="F50" i="94" a="1"/>
  <c r="I49" i="94" a="1"/>
  <c r="I49" i="94"/>
  <c r="H49" i="94" a="1"/>
  <c r="H49" i="94"/>
  <c r="G49" i="94" a="1"/>
  <c r="G49" i="94"/>
  <c r="F49" i="94" a="1"/>
  <c r="F49" i="94"/>
  <c r="I48" i="94" a="1"/>
  <c r="I48" i="94"/>
  <c r="H48" i="94"/>
  <c r="H48" i="94" a="1"/>
  <c r="G48" i="94" a="1"/>
  <c r="G48" i="94"/>
  <c r="F48" i="94" a="1"/>
  <c r="F48" i="94"/>
  <c r="I47" i="94" a="1"/>
  <c r="I47" i="94"/>
  <c r="H47" i="94" a="1"/>
  <c r="H47" i="94"/>
  <c r="G47" i="94" a="1"/>
  <c r="G47" i="94"/>
  <c r="F47" i="94"/>
  <c r="F47" i="94" a="1"/>
  <c r="I46" i="94" a="1"/>
  <c r="I46" i="94"/>
  <c r="H46" i="94" a="1"/>
  <c r="H46" i="94"/>
  <c r="G46" i="94" a="1"/>
  <c r="G46" i="94"/>
  <c r="F46" i="94" a="1"/>
  <c r="F46" i="94"/>
  <c r="I45" i="94" a="1"/>
  <c r="I45" i="94"/>
  <c r="H45" i="94"/>
  <c r="H45" i="94" a="1"/>
  <c r="G45" i="94" a="1"/>
  <c r="G45" i="94"/>
  <c r="F45" i="94" a="1"/>
  <c r="F45" i="94"/>
  <c r="I44" i="94" a="1"/>
  <c r="I44" i="94"/>
  <c r="H44" i="94" a="1"/>
  <c r="H44" i="94"/>
  <c r="G44" i="94" a="1"/>
  <c r="G44" i="94"/>
  <c r="F44" i="94"/>
  <c r="F44" i="94" a="1"/>
  <c r="I43" i="94" a="1"/>
  <c r="I43" i="94"/>
  <c r="H43" i="94" a="1"/>
  <c r="H43" i="94"/>
  <c r="G43" i="94" a="1"/>
  <c r="G43" i="94"/>
  <c r="F43" i="94" a="1"/>
  <c r="F43" i="94"/>
  <c r="I42" i="94" a="1"/>
  <c r="I42" i="94"/>
  <c r="H42" i="94"/>
  <c r="H42" i="94" a="1"/>
  <c r="G42" i="94" a="1"/>
  <c r="G42" i="94"/>
  <c r="F42" i="94" a="1"/>
  <c r="F42" i="94"/>
  <c r="I41" i="94" a="1"/>
  <c r="I41" i="94"/>
  <c r="H41" i="94" a="1"/>
  <c r="H41" i="94"/>
  <c r="G41" i="94" a="1"/>
  <c r="G41" i="94"/>
  <c r="F41" i="94"/>
  <c r="F41" i="94" a="1"/>
  <c r="I40" i="94" a="1"/>
  <c r="I40" i="94"/>
  <c r="H40" i="94" a="1"/>
  <c r="H40" i="94"/>
  <c r="G40" i="94" a="1"/>
  <c r="G40" i="94"/>
  <c r="F40" i="94" a="1"/>
  <c r="F40" i="94"/>
  <c r="I39" i="94" a="1"/>
  <c r="I39" i="94"/>
  <c r="H39" i="94"/>
  <c r="H39" i="94" a="1"/>
  <c r="G39" i="94" a="1"/>
  <c r="G39" i="94"/>
  <c r="F39" i="94" a="1"/>
  <c r="F39" i="94"/>
  <c r="I38" i="94" a="1"/>
  <c r="I38" i="94"/>
  <c r="H38" i="94" a="1"/>
  <c r="H38" i="94"/>
  <c r="G38" i="94" a="1"/>
  <c r="G38" i="94"/>
  <c r="F38" i="94"/>
  <c r="F38" i="94" a="1"/>
  <c r="I37" i="94" a="1"/>
  <c r="I37" i="94"/>
  <c r="H37" i="94" a="1"/>
  <c r="H37" i="94"/>
  <c r="G37" i="94" a="1"/>
  <c r="G37" i="94"/>
  <c r="F37" i="94" a="1"/>
  <c r="F37" i="94"/>
  <c r="I36" i="94" a="1"/>
  <c r="I36" i="94"/>
  <c r="H36" i="94"/>
  <c r="H36" i="94" a="1"/>
  <c r="G36" i="94" a="1"/>
  <c r="G36" i="94"/>
  <c r="F36" i="94" a="1"/>
  <c r="F36" i="94"/>
  <c r="I35" i="94" a="1"/>
  <c r="I35" i="94"/>
  <c r="H35" i="94" a="1"/>
  <c r="H35" i="94"/>
  <c r="G35" i="94" a="1"/>
  <c r="G35" i="94"/>
  <c r="F35" i="94"/>
  <c r="F35" i="94" a="1"/>
  <c r="I34" i="94" a="1"/>
  <c r="I34" i="94"/>
  <c r="H34" i="94" a="1"/>
  <c r="H34" i="94"/>
  <c r="G34" i="94" a="1"/>
  <c r="G34" i="94"/>
  <c r="F34" i="94" a="1"/>
  <c r="F34" i="94"/>
  <c r="I33" i="94" a="1"/>
  <c r="I33" i="94"/>
  <c r="H33" i="94"/>
  <c r="H33" i="94" a="1"/>
  <c r="G33" i="94" a="1"/>
  <c r="G33" i="94"/>
  <c r="F33" i="94" a="1"/>
  <c r="F33" i="94"/>
  <c r="I32" i="94" a="1"/>
  <c r="I32" i="94"/>
  <c r="H32" i="94" a="1"/>
  <c r="H32" i="94"/>
  <c r="G32" i="94" a="1"/>
  <c r="G32" i="94"/>
  <c r="F32" i="94"/>
  <c r="F32" i="94" a="1"/>
  <c r="I31" i="94" a="1"/>
  <c r="I31" i="94"/>
  <c r="H31" i="94" a="1"/>
  <c r="H31" i="94"/>
  <c r="G31" i="94" a="1"/>
  <c r="G31" i="94"/>
  <c r="F31" i="94" a="1"/>
  <c r="F31" i="94"/>
  <c r="I30" i="94" a="1"/>
  <c r="I30" i="94"/>
  <c r="H30" i="94"/>
  <c r="H30" i="94" a="1"/>
  <c r="G30" i="94" a="1"/>
  <c r="G30" i="94"/>
  <c r="F30" i="94" a="1"/>
  <c r="F30" i="94"/>
  <c r="I29" i="94" a="1"/>
  <c r="I29" i="94"/>
  <c r="H29" i="94" a="1"/>
  <c r="H29" i="94"/>
  <c r="G29" i="94" a="1"/>
  <c r="G29" i="94"/>
  <c r="F29" i="94"/>
  <c r="F29" i="94" a="1"/>
  <c r="I28" i="94" a="1"/>
  <c r="I28" i="94"/>
  <c r="H28" i="94" a="1"/>
  <c r="H28" i="94"/>
  <c r="G28" i="94" a="1"/>
  <c r="G28" i="94"/>
  <c r="F28" i="94" a="1"/>
  <c r="F28" i="94"/>
  <c r="I27" i="94" a="1"/>
  <c r="I27" i="94"/>
  <c r="H27" i="94"/>
  <c r="H27" i="94" a="1"/>
  <c r="G27" i="94" a="1"/>
  <c r="G27" i="94"/>
  <c r="F27" i="94" a="1"/>
  <c r="F27" i="94"/>
  <c r="I26" i="94" a="1"/>
  <c r="I26" i="94"/>
  <c r="H26" i="94" a="1"/>
  <c r="H26" i="94"/>
  <c r="G26" i="94" a="1"/>
  <c r="G26" i="94"/>
  <c r="F26" i="94"/>
  <c r="F26" i="94" a="1"/>
  <c r="I25" i="94" a="1"/>
  <c r="I25" i="94"/>
  <c r="H25" i="94" a="1"/>
  <c r="H25" i="94"/>
  <c r="G25" i="94" a="1"/>
  <c r="G25" i="94"/>
  <c r="F25" i="94" a="1"/>
  <c r="F25" i="94"/>
  <c r="I24" i="94" a="1"/>
  <c r="I24" i="94"/>
  <c r="H24" i="94"/>
  <c r="H24" i="94" a="1"/>
  <c r="G24" i="94" a="1"/>
  <c r="G24" i="94"/>
  <c r="F24" i="94" a="1"/>
  <c r="F24" i="94"/>
  <c r="I23" i="94" a="1"/>
  <c r="I23" i="94"/>
  <c r="H23" i="94" a="1"/>
  <c r="H23" i="94"/>
  <c r="G23" i="94" a="1"/>
  <c r="G23" i="94"/>
  <c r="F23" i="94"/>
  <c r="F23" i="94" a="1"/>
  <c r="I22" i="94" a="1"/>
  <c r="I22" i="94"/>
  <c r="H22" i="94" a="1"/>
  <c r="H22" i="94"/>
  <c r="G22" i="94" a="1"/>
  <c r="G22" i="94"/>
  <c r="F22" i="94" a="1"/>
  <c r="F22" i="94"/>
  <c r="I21" i="94" a="1"/>
  <c r="I21" i="94"/>
  <c r="H21" i="94"/>
  <c r="H21" i="94" a="1"/>
  <c r="G21" i="94" a="1"/>
  <c r="G21" i="94"/>
  <c r="F21" i="94" a="1"/>
  <c r="F21" i="94"/>
  <c r="I20" i="94" a="1"/>
  <c r="I20" i="94"/>
  <c r="H20" i="94" a="1"/>
  <c r="H20" i="94"/>
  <c r="G20" i="94" a="1"/>
  <c r="G20" i="94"/>
  <c r="F20" i="94"/>
  <c r="F20" i="94" a="1"/>
  <c r="I19" i="94" a="1"/>
  <c r="I19" i="94"/>
  <c r="H19" i="94" a="1"/>
  <c r="H19" i="94"/>
  <c r="G19" i="94" a="1"/>
  <c r="G19" i="94"/>
  <c r="F19" i="94" a="1"/>
  <c r="F19" i="94"/>
  <c r="I18" i="94" a="1"/>
  <c r="I18" i="94"/>
  <c r="H18" i="94"/>
  <c r="H18" i="94" a="1"/>
  <c r="G18" i="94" a="1"/>
  <c r="G18" i="94"/>
  <c r="F18" i="94" a="1"/>
  <c r="F18" i="94"/>
  <c r="I17" i="94" a="1"/>
  <c r="I17" i="94"/>
  <c r="H17" i="94" a="1"/>
  <c r="H17" i="94"/>
  <c r="G17" i="94" a="1"/>
  <c r="G17" i="94"/>
  <c r="F17" i="94"/>
  <c r="F17" i="94" a="1"/>
  <c r="I16" i="94" a="1"/>
  <c r="I16" i="94"/>
  <c r="H16" i="94" a="1"/>
  <c r="H16" i="94"/>
  <c r="G16" i="94" a="1"/>
  <c r="G16" i="94"/>
  <c r="F16" i="94" a="1"/>
  <c r="F16" i="94"/>
  <c r="I15" i="94" a="1"/>
  <c r="I15" i="94"/>
  <c r="H15" i="94"/>
  <c r="H15" i="94" a="1"/>
  <c r="G15" i="94" a="1"/>
  <c r="G15" i="94"/>
  <c r="F15" i="94" a="1"/>
  <c r="F15" i="94"/>
  <c r="I14" i="94" a="1"/>
  <c r="I14" i="94"/>
  <c r="H14" i="94" a="1"/>
  <c r="H14" i="94"/>
  <c r="G14" i="94" a="1"/>
  <c r="G14" i="94"/>
  <c r="F14" i="94"/>
  <c r="F14" i="94" a="1"/>
  <c r="I13" i="94" a="1"/>
  <c r="I13" i="94"/>
  <c r="H13" i="94" a="1"/>
  <c r="H13" i="94"/>
  <c r="G13" i="94" a="1"/>
  <c r="G13" i="94"/>
  <c r="F13" i="94" a="1"/>
  <c r="F13" i="94"/>
  <c r="I12" i="94" a="1"/>
  <c r="I12" i="94"/>
  <c r="H12" i="94"/>
  <c r="H12" i="94" a="1"/>
  <c r="G12" i="94" a="1"/>
  <c r="G12" i="94"/>
  <c r="F12" i="94" a="1"/>
  <c r="F12" i="94"/>
  <c r="I11" i="94" a="1"/>
  <c r="I11" i="94"/>
  <c r="H11" i="94" a="1"/>
  <c r="H11" i="94"/>
  <c r="G11" i="94" a="1"/>
  <c r="G11" i="94"/>
  <c r="F11" i="94"/>
  <c r="F11" i="94" a="1"/>
  <c r="I10" i="94" a="1"/>
  <c r="I10" i="94"/>
  <c r="H10" i="94" a="1"/>
  <c r="H10" i="94"/>
  <c r="G10" i="94" a="1"/>
  <c r="G10" i="94"/>
  <c r="F10" i="94" a="1"/>
  <c r="F10" i="94"/>
  <c r="I9" i="94" a="1"/>
  <c r="I9" i="94"/>
  <c r="H9" i="94"/>
  <c r="H9" i="94" a="1"/>
  <c r="G9" i="94" a="1"/>
  <c r="G9" i="94"/>
  <c r="F9" i="94" a="1"/>
  <c r="F9" i="94"/>
  <c r="I8" i="94" a="1"/>
  <c r="I8" i="94"/>
  <c r="H8" i="94" a="1"/>
  <c r="H8" i="94"/>
  <c r="G8" i="94" a="1"/>
  <c r="G8" i="94"/>
  <c r="F8" i="94"/>
  <c r="F8" i="94" a="1"/>
  <c r="I7" i="94" a="1"/>
  <c r="I7" i="94"/>
  <c r="H7" i="94" a="1"/>
  <c r="H7" i="94"/>
  <c r="G7" i="94" a="1"/>
  <c r="G7" i="94"/>
  <c r="F7" i="94" a="1"/>
  <c r="F7" i="94"/>
  <c r="I6" i="94" a="1"/>
  <c r="I6" i="94"/>
  <c r="H6" i="94"/>
  <c r="H6" i="94" a="1"/>
  <c r="G6" i="94" a="1"/>
  <c r="G6" i="94"/>
  <c r="F6" i="94" a="1"/>
  <c r="F6" i="94"/>
  <c r="I5" i="94" a="1"/>
  <c r="I5" i="94"/>
  <c r="H5" i="94" a="1"/>
  <c r="H5" i="94"/>
  <c r="G5" i="94" a="1"/>
  <c r="G5" i="94"/>
  <c r="F5" i="94" a="1"/>
  <c r="F5" i="94"/>
  <c r="I4" i="94" a="1"/>
  <c r="I4" i="94"/>
  <c r="H4" i="94" a="1"/>
  <c r="H4" i="94"/>
  <c r="G4" i="94" a="1"/>
  <c r="G4" i="94"/>
  <c r="F4" i="94" a="1"/>
  <c r="F4" i="94"/>
  <c r="I3" i="94" a="1"/>
  <c r="I3" i="94"/>
  <c r="H3" i="94" a="1"/>
  <c r="H3" i="94"/>
  <c r="G3" i="94" a="1"/>
  <c r="G3" i="94"/>
  <c r="F3" i="94" a="1"/>
  <c r="F3" i="94"/>
  <c r="I2" i="94" a="1"/>
  <c r="I2" i="94"/>
  <c r="H2" i="94" a="1"/>
  <c r="H2" i="94"/>
  <c r="G2" i="94" a="1"/>
  <c r="G2" i="94"/>
  <c r="F2" i="94" a="1"/>
  <c r="F2" i="94"/>
  <c r="P107" i="89"/>
  <c r="H45" i="106"/>
  <c r="H44" i="106"/>
  <c r="H43" i="106"/>
  <c r="H41" i="106"/>
  <c r="H40" i="106"/>
  <c r="H38" i="106"/>
  <c r="H34" i="106"/>
  <c r="H32" i="106"/>
  <c r="J28" i="106"/>
  <c r="K28" i="106"/>
  <c r="J29" i="106"/>
  <c r="K34" i="106"/>
  <c r="K23" i="106"/>
  <c r="J34" i="106"/>
  <c r="J23" i="106"/>
  <c r="I45" i="106"/>
  <c r="I40" i="106"/>
  <c r="I38" i="106"/>
  <c r="J38" i="106" s="1"/>
  <c r="I34" i="106"/>
  <c r="E30" i="106"/>
  <c r="D30" i="106"/>
  <c r="V34" i="106"/>
  <c r="W34" i="106" s="1"/>
  <c r="V36" i="106"/>
  <c r="V37" i="106"/>
  <c r="W37" i="106" s="1"/>
  <c r="V38" i="106"/>
  <c r="V39" i="106"/>
  <c r="V40" i="106"/>
  <c r="V32" i="106"/>
  <c r="W25" i="106"/>
  <c r="X26" i="106"/>
  <c r="W27" i="106"/>
  <c r="V28" i="106"/>
  <c r="W28" i="106" s="1"/>
  <c r="W29" i="106"/>
  <c r="V24" i="106"/>
  <c r="W24" i="106" s="1"/>
  <c r="V23" i="106"/>
  <c r="W23" i="106" s="1"/>
  <c r="E32" i="106"/>
  <c r="E33" i="106"/>
  <c r="E34" i="106"/>
  <c r="D36" i="106"/>
  <c r="E36" i="106"/>
  <c r="D37" i="106"/>
  <c r="E37" i="106"/>
  <c r="D38" i="106"/>
  <c r="E38" i="106"/>
  <c r="D39" i="106"/>
  <c r="E39" i="106"/>
  <c r="D40" i="106"/>
  <c r="E40" i="106"/>
  <c r="D41" i="106"/>
  <c r="E41" i="106"/>
  <c r="D42" i="106"/>
  <c r="E42" i="106"/>
  <c r="D43" i="106"/>
  <c r="E43" i="106"/>
  <c r="D44" i="106"/>
  <c r="E44" i="106"/>
  <c r="E45" i="106"/>
  <c r="D46" i="106"/>
  <c r="E46" i="106"/>
  <c r="D48" i="106"/>
  <c r="E48" i="106"/>
  <c r="D50" i="106"/>
  <c r="E50" i="106"/>
  <c r="D51" i="106"/>
  <c r="E51" i="106"/>
  <c r="D52" i="106"/>
  <c r="E52" i="106"/>
  <c r="D53" i="106"/>
  <c r="E53" i="106"/>
  <c r="D55" i="106"/>
  <c r="E55" i="106"/>
  <c r="D56" i="106"/>
  <c r="E56" i="106"/>
  <c r="D57" i="106"/>
  <c r="E57" i="106"/>
  <c r="D58" i="106"/>
  <c r="E58" i="106"/>
  <c r="D59" i="106"/>
  <c r="E59" i="106"/>
  <c r="E28" i="106"/>
  <c r="D29" i="106"/>
  <c r="E29" i="106"/>
  <c r="E10" i="106"/>
  <c r="E11" i="106"/>
  <c r="E12" i="106"/>
  <c r="E13" i="106"/>
  <c r="E14" i="106"/>
  <c r="E15" i="106"/>
  <c r="E16" i="106"/>
  <c r="E17" i="106"/>
  <c r="D18" i="106"/>
  <c r="E18" i="106"/>
  <c r="D19" i="106"/>
  <c r="E19" i="106"/>
  <c r="E20" i="106"/>
  <c r="E21" i="106"/>
  <c r="E22" i="106"/>
  <c r="D23" i="106"/>
  <c r="E23" i="106"/>
  <c r="D24" i="106"/>
  <c r="D25" i="106"/>
  <c r="D26" i="106"/>
  <c r="E26" i="106"/>
  <c r="D27" i="106"/>
  <c r="E27" i="106"/>
  <c r="E9" i="106"/>
  <c r="A8" i="106"/>
  <c r="B28" i="102"/>
  <c r="O78" i="92"/>
  <c r="P78" i="92"/>
  <c r="Q78" i="92"/>
  <c r="R78" i="92"/>
  <c r="S78" i="92"/>
  <c r="O79" i="92"/>
  <c r="P79" i="92"/>
  <c r="Q79" i="92"/>
  <c r="R79" i="92"/>
  <c r="S79" i="92"/>
  <c r="O74" i="92"/>
  <c r="O80" i="92" s="1"/>
  <c r="P74" i="92"/>
  <c r="P80" i="92" s="1"/>
  <c r="Q74" i="92"/>
  <c r="Q80" i="92" s="1"/>
  <c r="R74" i="92"/>
  <c r="R80" i="92" s="1"/>
  <c r="S74" i="92"/>
  <c r="S80" i="92" s="1"/>
  <c r="O71" i="92"/>
  <c r="P71" i="92" s="1"/>
  <c r="B27" i="102"/>
  <c r="B26" i="102"/>
  <c r="B25" i="102"/>
  <c r="B24" i="102"/>
  <c r="C21" i="102"/>
  <c r="C23" i="102"/>
  <c r="C24" i="102"/>
  <c r="C25" i="102"/>
  <c r="C20" i="102"/>
  <c r="B23" i="102"/>
  <c r="B22" i="102"/>
  <c r="B21" i="102"/>
  <c r="B19" i="102"/>
  <c r="C105" i="127"/>
  <c r="C104" i="127"/>
  <c r="C103" i="127"/>
  <c r="C101" i="127"/>
  <c r="C100" i="127"/>
  <c r="C99" i="127"/>
  <c r="C98" i="127"/>
  <c r="C97" i="127"/>
  <c r="C96" i="127"/>
  <c r="C95" i="127"/>
  <c r="C94" i="127"/>
  <c r="C93" i="127"/>
  <c r="C92" i="127"/>
  <c r="K153" i="90"/>
  <c r="K154" i="90"/>
  <c r="O136" i="89"/>
  <c r="P136" i="89"/>
  <c r="O135" i="89"/>
  <c r="P135" i="89"/>
  <c r="H135" i="89"/>
  <c r="Q11" i="89"/>
  <c r="Q110" i="90"/>
  <c r="Q109" i="90"/>
  <c r="P109" i="89"/>
  <c r="Q37" i="79"/>
  <c r="P108" i="89"/>
  <c r="Q38" i="79"/>
  <c r="R24" i="78"/>
  <c r="I24" i="106" s="1"/>
  <c r="P106" i="89"/>
  <c r="R25" i="78"/>
  <c r="I25" i="106" s="1"/>
  <c r="Q108" i="90"/>
  <c r="Q107" i="90"/>
  <c r="E9" i="100"/>
  <c r="C9" i="100"/>
  <c r="B9" i="100"/>
  <c r="A3" i="99"/>
  <c r="P20" i="99"/>
  <c r="O20" i="99"/>
  <c r="O21" i="99" s="1"/>
  <c r="P26" i="99"/>
  <c r="O26" i="99" s="1"/>
  <c r="M1" i="98"/>
  <c r="G10" i="98"/>
  <c r="G15" i="98"/>
  <c r="G16" i="98"/>
  <c r="H18" i="98"/>
  <c r="I19" i="98"/>
  <c r="G36" i="98"/>
  <c r="G45" i="98"/>
  <c r="G48" i="98"/>
  <c r="G39" i="98"/>
  <c r="G40" i="98"/>
  <c r="G41" i="98"/>
  <c r="G47" i="98"/>
  <c r="G46" i="98"/>
  <c r="J57" i="98"/>
  <c r="I58" i="98"/>
  <c r="J58" i="98"/>
  <c r="K58" i="98"/>
  <c r="L58" i="98"/>
  <c r="I59" i="98"/>
  <c r="J59" i="98"/>
  <c r="K59" i="98"/>
  <c r="L59" i="98"/>
  <c r="I60" i="98"/>
  <c r="J60" i="98"/>
  <c r="K60" i="98"/>
  <c r="L60" i="98"/>
  <c r="I61" i="98"/>
  <c r="J61" i="98"/>
  <c r="K61" i="98"/>
  <c r="L61" i="98"/>
  <c r="I62" i="98"/>
  <c r="J62" i="98"/>
  <c r="K62" i="98"/>
  <c r="L62" i="98"/>
  <c r="I63" i="98"/>
  <c r="J63" i="98"/>
  <c r="K63" i="98"/>
  <c r="L63" i="98"/>
  <c r="I64" i="98"/>
  <c r="J64" i="98"/>
  <c r="K64" i="98"/>
  <c r="L64" i="98"/>
  <c r="I65" i="98"/>
  <c r="J65" i="98"/>
  <c r="K65" i="98"/>
  <c r="L65" i="98"/>
  <c r="I66" i="98"/>
  <c r="J66" i="98"/>
  <c r="K66" i="98"/>
  <c r="L66" i="98"/>
  <c r="I67" i="98"/>
  <c r="J67" i="98"/>
  <c r="K67" i="98"/>
  <c r="L67" i="98"/>
  <c r="I68" i="98"/>
  <c r="J68" i="98"/>
  <c r="K68" i="98"/>
  <c r="L68" i="98"/>
  <c r="I69" i="98"/>
  <c r="J69" i="98"/>
  <c r="K69" i="98"/>
  <c r="L69" i="98"/>
  <c r="I70" i="98"/>
  <c r="J70" i="98"/>
  <c r="K70" i="98"/>
  <c r="L70" i="98"/>
  <c r="I71" i="98"/>
  <c r="J71" i="98"/>
  <c r="K71" i="98"/>
  <c r="L71" i="98"/>
  <c r="G77" i="98"/>
  <c r="K77" i="98"/>
  <c r="S5" i="97"/>
  <c r="T5" i="97"/>
  <c r="U5" i="97"/>
  <c r="V5" i="97"/>
  <c r="W5" i="97"/>
  <c r="X5" i="97"/>
  <c r="Y5" i="97"/>
  <c r="Z5" i="97"/>
  <c r="AA5" i="97"/>
  <c r="AB5" i="97"/>
  <c r="N6" i="97"/>
  <c r="S6" i="97"/>
  <c r="W6" i="97"/>
  <c r="AB6" i="97"/>
  <c r="N7" i="97"/>
  <c r="N8" i="97"/>
  <c r="W8" i="97"/>
  <c r="Y8" i="97"/>
  <c r="AB8" i="97"/>
  <c r="N9" i="97"/>
  <c r="S9" i="97"/>
  <c r="Y9" i="97"/>
  <c r="D10" i="97"/>
  <c r="S7" i="97"/>
  <c r="E10" i="97"/>
  <c r="T6" i="97"/>
  <c r="F10" i="97"/>
  <c r="U6" i="97"/>
  <c r="G10" i="97"/>
  <c r="V7" i="97"/>
  <c r="H10" i="97"/>
  <c r="W7" i="97"/>
  <c r="I10" i="97"/>
  <c r="J10" i="97"/>
  <c r="Y7" i="97"/>
  <c r="K10" i="97"/>
  <c r="Z6" i="97"/>
  <c r="L10" i="97"/>
  <c r="M10" i="97"/>
  <c r="AB7" i="97"/>
  <c r="H15" i="97"/>
  <c r="O15" i="97"/>
  <c r="I15" i="97"/>
  <c r="S15" i="97"/>
  <c r="T15" i="97"/>
  <c r="H16" i="97"/>
  <c r="I16" i="97"/>
  <c r="T16" i="97"/>
  <c r="H17" i="97"/>
  <c r="I17" i="97"/>
  <c r="O17" i="97"/>
  <c r="AB17" i="97"/>
  <c r="H18" i="97"/>
  <c r="O18" i="97"/>
  <c r="I18" i="97"/>
  <c r="T18" i="97"/>
  <c r="U18" i="97"/>
  <c r="AB18" i="97"/>
  <c r="D19" i="97"/>
  <c r="S16" i="97"/>
  <c r="E19" i="97"/>
  <c r="T17" i="97"/>
  <c r="F19" i="97"/>
  <c r="U15" i="97"/>
  <c r="G19" i="97"/>
  <c r="V16" i="97"/>
  <c r="J19" i="97"/>
  <c r="Y15" i="97"/>
  <c r="K19" i="97"/>
  <c r="Z17" i="97"/>
  <c r="L19" i="97"/>
  <c r="AA18" i="97"/>
  <c r="M19" i="97"/>
  <c r="AB16" i="97"/>
  <c r="N19" i="97"/>
  <c r="AC16" i="97"/>
  <c r="Q28" i="97"/>
  <c r="S28" i="97"/>
  <c r="Q29" i="97"/>
  <c r="S29" i="97"/>
  <c r="Q30" i="97"/>
  <c r="S30" i="97"/>
  <c r="Q31" i="97"/>
  <c r="S31" i="97"/>
  <c r="F32" i="97"/>
  <c r="G28" i="97"/>
  <c r="V32" i="97"/>
  <c r="F42" i="97"/>
  <c r="G42" i="97"/>
  <c r="H42" i="97"/>
  <c r="I42" i="97"/>
  <c r="B155" i="96"/>
  <c r="B156" i="96"/>
  <c r="B157" i="96"/>
  <c r="B158" i="96"/>
  <c r="B159" i="96"/>
  <c r="B160" i="96"/>
  <c r="B161" i="96"/>
  <c r="B162" i="96"/>
  <c r="B163" i="96"/>
  <c r="B164" i="96"/>
  <c r="B165" i="96"/>
  <c r="B166" i="96"/>
  <c r="B167" i="96"/>
  <c r="B168" i="96"/>
  <c r="B169" i="96"/>
  <c r="B170" i="96"/>
  <c r="B171" i="96"/>
  <c r="B172" i="96"/>
  <c r="B173" i="96"/>
  <c r="B174" i="96"/>
  <c r="B175" i="96"/>
  <c r="B176" i="96"/>
  <c r="B177" i="96"/>
  <c r="B178" i="96"/>
  <c r="B179" i="96"/>
  <c r="B180" i="96"/>
  <c r="B181" i="96"/>
  <c r="B182" i="96"/>
  <c r="B183" i="96"/>
  <c r="B184" i="96"/>
  <c r="B185" i="96"/>
  <c r="B186" i="96"/>
  <c r="B187" i="96"/>
  <c r="B188" i="96"/>
  <c r="B189" i="96"/>
  <c r="B190" i="96"/>
  <c r="B191" i="96"/>
  <c r="B192" i="96"/>
  <c r="B193" i="96"/>
  <c r="B194" i="96"/>
  <c r="B195" i="96"/>
  <c r="B196" i="96"/>
  <c r="B197" i="96"/>
  <c r="B198" i="96"/>
  <c r="B199" i="96"/>
  <c r="B200" i="96"/>
  <c r="B201" i="96"/>
  <c r="B202" i="96"/>
  <c r="B203" i="96"/>
  <c r="B204" i="96"/>
  <c r="B205" i="96"/>
  <c r="B206" i="96"/>
  <c r="B207" i="96"/>
  <c r="B208" i="96"/>
  <c r="B209" i="96"/>
  <c r="B210" i="96"/>
  <c r="B211" i="96"/>
  <c r="B212" i="96"/>
  <c r="B213" i="96"/>
  <c r="B214" i="96"/>
  <c r="B215" i="96"/>
  <c r="B216" i="96"/>
  <c r="B217" i="96"/>
  <c r="B218" i="96"/>
  <c r="B219" i="96"/>
  <c r="B220" i="96"/>
  <c r="B221" i="96"/>
  <c r="B222" i="96"/>
  <c r="B223" i="96"/>
  <c r="B224" i="96"/>
  <c r="B225" i="96"/>
  <c r="B226" i="96"/>
  <c r="B227" i="96"/>
  <c r="B228" i="96"/>
  <c r="B229" i="96"/>
  <c r="B230" i="96"/>
  <c r="B231" i="96"/>
  <c r="B232" i="96"/>
  <c r="B233" i="96"/>
  <c r="B234" i="96"/>
  <c r="B235" i="96"/>
  <c r="B236" i="96"/>
  <c r="B237" i="96"/>
  <c r="B238" i="96"/>
  <c r="B239" i="96"/>
  <c r="B240" i="96"/>
  <c r="B241" i="96"/>
  <c r="B242" i="96"/>
  <c r="B243" i="96"/>
  <c r="B244" i="96"/>
  <c r="B245" i="96"/>
  <c r="B246" i="96"/>
  <c r="B247" i="96"/>
  <c r="B248" i="96"/>
  <c r="B249" i="96"/>
  <c r="B250" i="96"/>
  <c r="B251" i="96"/>
  <c r="B252" i="96"/>
  <c r="B253" i="96"/>
  <c r="B254" i="96"/>
  <c r="B255" i="96"/>
  <c r="B256" i="96"/>
  <c r="B257" i="96"/>
  <c r="B258" i="96"/>
  <c r="B259" i="96"/>
  <c r="B260" i="96"/>
  <c r="B261" i="96"/>
  <c r="B262" i="96"/>
  <c r="B263" i="96"/>
  <c r="B264" i="96"/>
  <c r="B265" i="96"/>
  <c r="B266" i="96"/>
  <c r="B267" i="96"/>
  <c r="B268" i="96"/>
  <c r="B269" i="96"/>
  <c r="B270" i="96"/>
  <c r="B271" i="96"/>
  <c r="B272" i="96"/>
  <c r="B273" i="96"/>
  <c r="B274" i="96"/>
  <c r="B275" i="96"/>
  <c r="B276" i="96"/>
  <c r="B277" i="96"/>
  <c r="B278" i="96"/>
  <c r="B279" i="96"/>
  <c r="B280" i="96"/>
  <c r="B281" i="96"/>
  <c r="B282" i="96"/>
  <c r="B283" i="96"/>
  <c r="B284" i="96"/>
  <c r="B285" i="96"/>
  <c r="B286" i="96"/>
  <c r="B287" i="96"/>
  <c r="B288" i="96"/>
  <c r="B289" i="96"/>
  <c r="B290" i="96"/>
  <c r="B291" i="96"/>
  <c r="B292" i="96"/>
  <c r="B293" i="96"/>
  <c r="B294" i="96"/>
  <c r="B295" i="96"/>
  <c r="I2" i="95"/>
  <c r="J2" i="95"/>
  <c r="K2" i="95"/>
  <c r="L2" i="95"/>
  <c r="G4" i="95"/>
  <c r="G5" i="95"/>
  <c r="G6" i="95"/>
  <c r="G7" i="95"/>
  <c r="H7" i="95"/>
  <c r="G8" i="95"/>
  <c r="G9" i="95"/>
  <c r="G10" i="95"/>
  <c r="G11" i="95"/>
  <c r="G12" i="95"/>
  <c r="G13" i="95"/>
  <c r="G14" i="95"/>
  <c r="G15" i="95"/>
  <c r="G16" i="95"/>
  <c r="G17" i="95"/>
  <c r="G18" i="95"/>
  <c r="G19" i="95"/>
  <c r="G20" i="95"/>
  <c r="G21" i="95"/>
  <c r="R39" i="95"/>
  <c r="G22" i="95"/>
  <c r="M32" i="95"/>
  <c r="R43" i="95"/>
  <c r="Z49" i="95"/>
  <c r="J50" i="95"/>
  <c r="L50" i="95"/>
  <c r="N50" i="95"/>
  <c r="O50" i="95"/>
  <c r="P50" i="95"/>
  <c r="Q50" i="95"/>
  <c r="W50" i="95"/>
  <c r="Y50" i="95"/>
  <c r="AB50" i="95"/>
  <c r="J51" i="95"/>
  <c r="K51" i="95"/>
  <c r="N51" i="95"/>
  <c r="P51" i="95"/>
  <c r="Q51" i="95"/>
  <c r="W51" i="95"/>
  <c r="Y51" i="95"/>
  <c r="AB51" i="95"/>
  <c r="J52" i="95"/>
  <c r="N52" i="95"/>
  <c r="S52" i="95"/>
  <c r="S54" i="95"/>
  <c r="W52" i="95"/>
  <c r="Y52" i="95"/>
  <c r="AB52" i="95"/>
  <c r="J53" i="95"/>
  <c r="L53" i="95"/>
  <c r="N53" i="95"/>
  <c r="O53" i="95"/>
  <c r="P53" i="95"/>
  <c r="Q53" i="95"/>
  <c r="S53" i="95"/>
  <c r="S55" i="95"/>
  <c r="S57" i="95"/>
  <c r="S59" i="95"/>
  <c r="S61" i="95"/>
  <c r="S63" i="95"/>
  <c r="S65" i="95"/>
  <c r="S67" i="95"/>
  <c r="S69" i="95"/>
  <c r="S71" i="95"/>
  <c r="S73" i="95"/>
  <c r="S75" i="95"/>
  <c r="S77" i="95"/>
  <c r="S79" i="95"/>
  <c r="W53" i="95"/>
  <c r="AB53" i="95"/>
  <c r="J54" i="95"/>
  <c r="L54" i="95"/>
  <c r="K54" i="95"/>
  <c r="K55" i="95"/>
  <c r="M54" i="95"/>
  <c r="W54" i="95"/>
  <c r="Y54" i="95"/>
  <c r="AB54" i="95"/>
  <c r="J55" i="95"/>
  <c r="L55" i="95"/>
  <c r="L68" i="95"/>
  <c r="W55" i="95"/>
  <c r="Y55" i="95"/>
  <c r="AB55" i="95"/>
  <c r="J56" i="95"/>
  <c r="L56" i="95"/>
  <c r="N56" i="95"/>
  <c r="O56" i="95"/>
  <c r="P56" i="95"/>
  <c r="Q56" i="95"/>
  <c r="W56" i="95"/>
  <c r="AB56" i="95"/>
  <c r="J57" i="95"/>
  <c r="L57" i="95"/>
  <c r="M57" i="95"/>
  <c r="M58" i="95"/>
  <c r="N58" i="95"/>
  <c r="W57" i="95"/>
  <c r="Y57" i="95"/>
  <c r="AB57" i="95"/>
  <c r="J58" i="95"/>
  <c r="W58" i="95"/>
  <c r="Y58" i="95"/>
  <c r="AB58" i="95"/>
  <c r="W59" i="95"/>
  <c r="Y59" i="95"/>
  <c r="AB59" i="95"/>
  <c r="W60" i="95"/>
  <c r="Y60" i="95"/>
  <c r="AB60" i="95"/>
  <c r="W61" i="95"/>
  <c r="Y61" i="95"/>
  <c r="AB61" i="95"/>
  <c r="W62" i="95"/>
  <c r="Y62" i="95"/>
  <c r="AB62" i="95"/>
  <c r="Z65" i="95"/>
  <c r="AB65" i="95"/>
  <c r="AC65" i="95"/>
  <c r="J71" i="95"/>
  <c r="J72" i="95"/>
  <c r="AA72" i="95"/>
  <c r="Z73" i="95"/>
  <c r="Q39" i="95"/>
  <c r="AA74" i="95"/>
  <c r="AA75" i="95"/>
  <c r="Y76" i="95"/>
  <c r="H88" i="95"/>
  <c r="I102" i="95"/>
  <c r="N102" i="95"/>
  <c r="N100" i="95"/>
  <c r="I101" i="95"/>
  <c r="F103" i="95"/>
  <c r="G103" i="95"/>
  <c r="M103" i="95"/>
  <c r="M104" i="95"/>
  <c r="K134" i="95"/>
  <c r="F104" i="95"/>
  <c r="Z78" i="95"/>
  <c r="Z79" i="95"/>
  <c r="H108" i="95"/>
  <c r="G24" i="95"/>
  <c r="H109" i="95"/>
  <c r="F124" i="95"/>
  <c r="I126" i="95"/>
  <c r="F128" i="95"/>
  <c r="H128" i="95"/>
  <c r="G26" i="95"/>
  <c r="F129" i="95"/>
  <c r="H129" i="95"/>
  <c r="G27" i="95"/>
  <c r="F130" i="95"/>
  <c r="H130" i="95"/>
  <c r="G28" i="95"/>
  <c r="R45" i="95"/>
  <c r="F131" i="95"/>
  <c r="H131" i="95"/>
  <c r="F132" i="95"/>
  <c r="H132" i="95"/>
  <c r="G30" i="95"/>
  <c r="M134" i="95"/>
  <c r="J2" i="94"/>
  <c r="J3" i="94"/>
  <c r="J4" i="94"/>
  <c r="J5" i="94"/>
  <c r="J6" i="94"/>
  <c r="J7" i="94"/>
  <c r="J8" i="94"/>
  <c r="J9" i="94"/>
  <c r="J10" i="94"/>
  <c r="J11" i="94"/>
  <c r="J12" i="94"/>
  <c r="J13" i="94"/>
  <c r="J14" i="94"/>
  <c r="J15" i="94"/>
  <c r="J16" i="94"/>
  <c r="J17" i="94"/>
  <c r="J18" i="94"/>
  <c r="J19" i="94"/>
  <c r="J20" i="94"/>
  <c r="J21" i="94"/>
  <c r="J22" i="94"/>
  <c r="J23" i="94"/>
  <c r="J24" i="94"/>
  <c r="J25" i="94"/>
  <c r="J26" i="94"/>
  <c r="J27" i="94"/>
  <c r="J28" i="94"/>
  <c r="J29" i="94"/>
  <c r="J30" i="94"/>
  <c r="J31" i="94"/>
  <c r="J32" i="94"/>
  <c r="J33" i="94"/>
  <c r="J34" i="94"/>
  <c r="J35" i="94"/>
  <c r="J36" i="94"/>
  <c r="J37" i="94"/>
  <c r="J38" i="94"/>
  <c r="J39" i="94"/>
  <c r="J40" i="94"/>
  <c r="J41" i="94"/>
  <c r="J42" i="94"/>
  <c r="J43" i="94"/>
  <c r="J44" i="94"/>
  <c r="J45" i="94"/>
  <c r="J46" i="94"/>
  <c r="J47" i="94"/>
  <c r="J48" i="94"/>
  <c r="J49" i="94"/>
  <c r="J50" i="94"/>
  <c r="J51" i="94"/>
  <c r="J52" i="94"/>
  <c r="J53" i="94"/>
  <c r="J54" i="94"/>
  <c r="J55" i="94"/>
  <c r="J56" i="94"/>
  <c r="J57" i="94"/>
  <c r="J58" i="94"/>
  <c r="J59" i="94"/>
  <c r="J60" i="94"/>
  <c r="J61" i="94"/>
  <c r="J62" i="94"/>
  <c r="J63" i="94"/>
  <c r="J64" i="94"/>
  <c r="J65" i="94"/>
  <c r="J66" i="94"/>
  <c r="J67" i="94"/>
  <c r="J68" i="94"/>
  <c r="J69" i="94"/>
  <c r="J70" i="94"/>
  <c r="J71" i="94"/>
  <c r="J72" i="94"/>
  <c r="J73" i="94"/>
  <c r="J74" i="94"/>
  <c r="J75" i="94"/>
  <c r="J76" i="94"/>
  <c r="J77" i="94"/>
  <c r="J78" i="94"/>
  <c r="J79" i="94"/>
  <c r="J80" i="94"/>
  <c r="J81" i="94"/>
  <c r="J82" i="94"/>
  <c r="J83" i="94"/>
  <c r="J84" i="94"/>
  <c r="J85" i="94"/>
  <c r="J86" i="94"/>
  <c r="J87" i="94"/>
  <c r="J88" i="94"/>
  <c r="J89" i="94"/>
  <c r="J90" i="94"/>
  <c r="J91" i="94"/>
  <c r="J92" i="94"/>
  <c r="J93" i="94"/>
  <c r="J94" i="94"/>
  <c r="J95" i="94"/>
  <c r="J96" i="94"/>
  <c r="J97" i="94"/>
  <c r="J98" i="94"/>
  <c r="J99" i="94"/>
  <c r="J100" i="94"/>
  <c r="J101" i="94"/>
  <c r="J102" i="94"/>
  <c r="J103" i="94"/>
  <c r="J104" i="94"/>
  <c r="J105" i="94"/>
  <c r="J106" i="94"/>
  <c r="J107" i="94"/>
  <c r="J108" i="94"/>
  <c r="J109" i="94"/>
  <c r="A12" i="93"/>
  <c r="A13" i="93"/>
  <c r="A14" i="93"/>
  <c r="A15" i="93"/>
  <c r="D11" i="92"/>
  <c r="E11" i="92"/>
  <c r="F11" i="92"/>
  <c r="G11" i="92"/>
  <c r="H11" i="92"/>
  <c r="I11" i="92"/>
  <c r="J11" i="92"/>
  <c r="D12" i="92"/>
  <c r="E12" i="92"/>
  <c r="F12" i="92"/>
  <c r="G12" i="92"/>
  <c r="H12" i="92"/>
  <c r="I12" i="92"/>
  <c r="J12" i="92"/>
  <c r="D13" i="92"/>
  <c r="E13" i="92"/>
  <c r="F13" i="92"/>
  <c r="G13" i="92"/>
  <c r="H13" i="92"/>
  <c r="I13" i="92"/>
  <c r="J13" i="92"/>
  <c r="D48" i="92"/>
  <c r="I48" i="92"/>
  <c r="D49" i="92"/>
  <c r="I49" i="92"/>
  <c r="D74" i="92"/>
  <c r="D85" i="92" s="1"/>
  <c r="D91" i="92" s="1"/>
  <c r="E74" i="92"/>
  <c r="E85" i="92" s="1"/>
  <c r="E91" i="92" s="1"/>
  <c r="F74" i="92"/>
  <c r="F85" i="92" s="1"/>
  <c r="F91" i="92" s="1"/>
  <c r="G74" i="92"/>
  <c r="G85" i="92" s="1"/>
  <c r="G91" i="92" s="1"/>
  <c r="H74" i="92"/>
  <c r="H85" i="92" s="1"/>
  <c r="H91" i="92" s="1"/>
  <c r="I74" i="92"/>
  <c r="J74" i="92"/>
  <c r="J85" i="92" s="1"/>
  <c r="J91" i="92" s="1"/>
  <c r="K74" i="92"/>
  <c r="K85" i="92" s="1"/>
  <c r="K91" i="92" s="1"/>
  <c r="L74" i="92"/>
  <c r="L85" i="92" s="1"/>
  <c r="L91" i="92" s="1"/>
  <c r="M74" i="92"/>
  <c r="M85" i="92" s="1"/>
  <c r="M91" i="92" s="1"/>
  <c r="N74" i="92"/>
  <c r="N85" i="92" s="1"/>
  <c r="N91" i="92" s="1"/>
  <c r="E77" i="92"/>
  <c r="E79" i="92" s="1"/>
  <c r="F69" i="127" s="1"/>
  <c r="F77" i="92"/>
  <c r="F78" i="92" s="1"/>
  <c r="G68" i="127" s="1"/>
  <c r="G77" i="92"/>
  <c r="G79" i="92" s="1"/>
  <c r="H69" i="127" s="1"/>
  <c r="H77" i="92"/>
  <c r="H78" i="92" s="1"/>
  <c r="I77" i="92"/>
  <c r="I79" i="92" s="1"/>
  <c r="J69" i="127" s="1"/>
  <c r="J77" i="92"/>
  <c r="J78" i="92" s="1"/>
  <c r="K68" i="127" s="1"/>
  <c r="K77" i="92"/>
  <c r="K78" i="92" s="1"/>
  <c r="L77" i="92"/>
  <c r="L79" i="92" s="1"/>
  <c r="M77" i="92"/>
  <c r="N77" i="92"/>
  <c r="N79" i="92" s="1"/>
  <c r="C83" i="92"/>
  <c r="C78" i="92" s="1"/>
  <c r="D83" i="92"/>
  <c r="D89" i="92" s="1"/>
  <c r="C84" i="92"/>
  <c r="C79" i="92" s="1"/>
  <c r="D84" i="92"/>
  <c r="D79" i="92" s="1"/>
  <c r="E84" i="92"/>
  <c r="E90" i="92" s="1"/>
  <c r="F84" i="92"/>
  <c r="F90" i="92" s="1"/>
  <c r="F93" i="92" s="1"/>
  <c r="G84" i="92"/>
  <c r="G90" i="92" s="1"/>
  <c r="H84" i="92"/>
  <c r="H90" i="92" s="1"/>
  <c r="I84" i="92"/>
  <c r="I90" i="92" s="1"/>
  <c r="J84" i="92"/>
  <c r="J90" i="92" s="1"/>
  <c r="K84" i="92"/>
  <c r="K90" i="92" s="1"/>
  <c r="L84" i="92"/>
  <c r="L90" i="92" s="1"/>
  <c r="M84" i="92"/>
  <c r="M90" i="92" s="1"/>
  <c r="N84" i="92"/>
  <c r="N90" i="92" s="1"/>
  <c r="C85" i="92"/>
  <c r="C80" i="92" s="1"/>
  <c r="D88" i="92"/>
  <c r="E88" i="92"/>
  <c r="F88" i="92"/>
  <c r="G88" i="92"/>
  <c r="H88" i="92"/>
  <c r="I88" i="92"/>
  <c r="J88" i="92"/>
  <c r="K88" i="92"/>
  <c r="L88" i="92"/>
  <c r="M88" i="92"/>
  <c r="N88" i="92"/>
  <c r="C89" i="92"/>
  <c r="C90" i="92"/>
  <c r="C91" i="92"/>
  <c r="C44" i="91"/>
  <c r="J66" i="85"/>
  <c r="D44" i="91"/>
  <c r="E44" i="91"/>
  <c r="F44" i="91"/>
  <c r="H44" i="91"/>
  <c r="J44" i="91"/>
  <c r="K44" i="91"/>
  <c r="L44" i="91"/>
  <c r="P44" i="91"/>
  <c r="N44" i="91"/>
  <c r="Q44" i="91"/>
  <c r="C45" i="91"/>
  <c r="J78" i="85"/>
  <c r="D45" i="91"/>
  <c r="E45" i="91"/>
  <c r="F45" i="91"/>
  <c r="H45" i="91"/>
  <c r="I45" i="91"/>
  <c r="J45" i="91"/>
  <c r="K45" i="91"/>
  <c r="L45" i="91"/>
  <c r="P45" i="91"/>
  <c r="N45" i="91"/>
  <c r="Q45" i="91"/>
  <c r="C46" i="91"/>
  <c r="J67" i="85"/>
  <c r="J101" i="85"/>
  <c r="D46" i="91"/>
  <c r="E46" i="91"/>
  <c r="F46" i="91"/>
  <c r="H46" i="91"/>
  <c r="I46" i="91"/>
  <c r="J46" i="91"/>
  <c r="K46" i="91"/>
  <c r="L46" i="91"/>
  <c r="P46" i="91"/>
  <c r="N46" i="91"/>
  <c r="C47" i="91"/>
  <c r="D47" i="91"/>
  <c r="E47" i="91"/>
  <c r="F47" i="91"/>
  <c r="H47" i="91"/>
  <c r="I47" i="91"/>
  <c r="J47" i="91"/>
  <c r="P47" i="91"/>
  <c r="K47" i="91"/>
  <c r="L47" i="91"/>
  <c r="N47" i="91"/>
  <c r="Q47" i="91"/>
  <c r="C48" i="91"/>
  <c r="D48" i="91"/>
  <c r="E48" i="91"/>
  <c r="F48" i="91"/>
  <c r="H48" i="91"/>
  <c r="I48" i="91"/>
  <c r="J48" i="91"/>
  <c r="K48" i="91"/>
  <c r="Q48" i="91"/>
  <c r="L48" i="91"/>
  <c r="N48" i="91"/>
  <c r="C49" i="91"/>
  <c r="D49" i="91"/>
  <c r="E49" i="91"/>
  <c r="F49" i="91"/>
  <c r="H49" i="91"/>
  <c r="I49" i="91"/>
  <c r="J49" i="91"/>
  <c r="K49" i="91"/>
  <c r="L49" i="91"/>
  <c r="N49" i="91"/>
  <c r="Q49" i="91"/>
  <c r="C50" i="91"/>
  <c r="I50" i="91"/>
  <c r="D50" i="91"/>
  <c r="E50" i="91"/>
  <c r="F50" i="91"/>
  <c r="H50" i="91"/>
  <c r="J50" i="91"/>
  <c r="K50" i="91"/>
  <c r="L50" i="91"/>
  <c r="P50" i="91"/>
  <c r="N50" i="91"/>
  <c r="Q50" i="91"/>
  <c r="C51" i="91"/>
  <c r="D51" i="91"/>
  <c r="E51" i="91"/>
  <c r="F51" i="91"/>
  <c r="H51" i="91"/>
  <c r="I51" i="91"/>
  <c r="J51" i="91"/>
  <c r="K51" i="91"/>
  <c r="L51" i="91"/>
  <c r="N51" i="91"/>
  <c r="C52" i="91"/>
  <c r="D52" i="91"/>
  <c r="E52" i="91"/>
  <c r="F52" i="91"/>
  <c r="H52" i="91"/>
  <c r="I52" i="91"/>
  <c r="J52" i="91"/>
  <c r="K52" i="91"/>
  <c r="L52" i="91"/>
  <c r="N52" i="91"/>
  <c r="C53" i="91"/>
  <c r="D53" i="91"/>
  <c r="E53" i="91"/>
  <c r="F53" i="91"/>
  <c r="H53" i="91"/>
  <c r="I53" i="91"/>
  <c r="J53" i="91"/>
  <c r="K53" i="91"/>
  <c r="L53" i="91"/>
  <c r="N53" i="91"/>
  <c r="C54" i="91"/>
  <c r="D54" i="91"/>
  <c r="E54" i="91"/>
  <c r="F54" i="91"/>
  <c r="H54" i="91"/>
  <c r="I54" i="91"/>
  <c r="J54" i="91"/>
  <c r="K54" i="91"/>
  <c r="L54" i="91"/>
  <c r="N54" i="91"/>
  <c r="C55" i="91"/>
  <c r="I55" i="91"/>
  <c r="D55" i="91"/>
  <c r="E55" i="91"/>
  <c r="F55" i="91"/>
  <c r="H55" i="91"/>
  <c r="J55" i="91"/>
  <c r="K55" i="91"/>
  <c r="Q55" i="91"/>
  <c r="L55" i="91"/>
  <c r="P55" i="91"/>
  <c r="N55" i="91"/>
  <c r="C56" i="91"/>
  <c r="D56" i="91"/>
  <c r="E56" i="91"/>
  <c r="F56" i="91"/>
  <c r="H56" i="91"/>
  <c r="I56" i="91"/>
  <c r="J56" i="91"/>
  <c r="K56" i="91"/>
  <c r="L56" i="91"/>
  <c r="N56" i="91"/>
  <c r="Q56" i="91"/>
  <c r="P56" i="91"/>
  <c r="C57" i="91"/>
  <c r="D57" i="91"/>
  <c r="H57" i="91"/>
  <c r="K57" i="91"/>
  <c r="L57" i="91"/>
  <c r="N57" i="91"/>
  <c r="C58" i="91"/>
  <c r="D58" i="91"/>
  <c r="H58" i="91"/>
  <c r="K58" i="91"/>
  <c r="Q58" i="91"/>
  <c r="L58" i="91"/>
  <c r="N58" i="91"/>
  <c r="D62" i="91"/>
  <c r="E62" i="91"/>
  <c r="F62" i="91"/>
  <c r="G62" i="91"/>
  <c r="H62" i="91"/>
  <c r="I62" i="91"/>
  <c r="J62" i="91"/>
  <c r="K62" i="91"/>
  <c r="L62" i="91"/>
  <c r="M62" i="91"/>
  <c r="N62" i="91"/>
  <c r="O62" i="91"/>
  <c r="P62" i="91"/>
  <c r="Q62" i="91"/>
  <c r="R62" i="91"/>
  <c r="S62" i="91"/>
  <c r="T62" i="91"/>
  <c r="U62" i="91"/>
  <c r="V62" i="91"/>
  <c r="W62" i="91"/>
  <c r="X62" i="91"/>
  <c r="Y62" i="91"/>
  <c r="Z62" i="91"/>
  <c r="AA62" i="91"/>
  <c r="AB62" i="91"/>
  <c r="AC62" i="91"/>
  <c r="AD62" i="91"/>
  <c r="AE62" i="91"/>
  <c r="Q31" i="90"/>
  <c r="K133" i="90"/>
  <c r="K134" i="90"/>
  <c r="K137" i="90"/>
  <c r="O137" i="90"/>
  <c r="M137" i="90"/>
  <c r="N137" i="90"/>
  <c r="K138" i="90"/>
  <c r="O138" i="90"/>
  <c r="M138" i="90"/>
  <c r="K139" i="90"/>
  <c r="P139" i="90"/>
  <c r="K140" i="90"/>
  <c r="P140" i="90"/>
  <c r="K144" i="90"/>
  <c r="M144" i="90"/>
  <c r="K146" i="90"/>
  <c r="K147" i="90"/>
  <c r="N147" i="90"/>
  <c r="O147" i="90"/>
  <c r="K150" i="90"/>
  <c r="N150" i="90"/>
  <c r="P7" i="89"/>
  <c r="P11" i="89"/>
  <c r="P17" i="89"/>
  <c r="P18" i="89"/>
  <c r="P27" i="89"/>
  <c r="P47" i="89"/>
  <c r="P48" i="89"/>
  <c r="P49" i="89"/>
  <c r="P50" i="89"/>
  <c r="P81" i="89"/>
  <c r="P87" i="89"/>
  <c r="P88" i="89"/>
  <c r="P91" i="89"/>
  <c r="N4" i="88"/>
  <c r="N5" i="88"/>
  <c r="N6" i="88"/>
  <c r="N7" i="88"/>
  <c r="N8" i="88"/>
  <c r="N9" i="88"/>
  <c r="N10" i="88"/>
  <c r="N11" i="88"/>
  <c r="N12" i="88"/>
  <c r="N13" i="88"/>
  <c r="N14" i="88"/>
  <c r="O14" i="88"/>
  <c r="P14" i="88" s="1"/>
  <c r="Q14" i="88" s="1"/>
  <c r="N15" i="88"/>
  <c r="N16" i="88"/>
  <c r="N17" i="88"/>
  <c r="F3" i="87"/>
  <c r="G3" i="87"/>
  <c r="H3" i="87"/>
  <c r="I3" i="87"/>
  <c r="J3" i="87"/>
  <c r="K3" i="87"/>
  <c r="L4" i="87"/>
  <c r="M4" i="87"/>
  <c r="L5" i="87"/>
  <c r="L6" i="87"/>
  <c r="M6" i="87"/>
  <c r="M1" i="86"/>
  <c r="N1" i="86"/>
  <c r="O1" i="86"/>
  <c r="G2" i="86"/>
  <c r="H2" i="86"/>
  <c r="I2" i="86"/>
  <c r="J2" i="86"/>
  <c r="K2" i="86"/>
  <c r="L2" i="86"/>
  <c r="M2" i="86"/>
  <c r="N2" i="86"/>
  <c r="X4" i="86"/>
  <c r="Y4" i="86"/>
  <c r="AI4" i="86"/>
  <c r="AU4" i="86"/>
  <c r="AJ4" i="86"/>
  <c r="AV4" i="86"/>
  <c r="P7" i="86"/>
  <c r="T46" i="86" s="1"/>
  <c r="P9" i="86"/>
  <c r="T48" i="86" s="1"/>
  <c r="P12" i="86"/>
  <c r="T51" i="86" s="1"/>
  <c r="P13" i="86"/>
  <c r="T52" i="86" s="1"/>
  <c r="P15" i="86"/>
  <c r="T54" i="86" s="1"/>
  <c r="V16" i="86"/>
  <c r="P31" i="86"/>
  <c r="T70" i="86" s="1"/>
  <c r="P32" i="86"/>
  <c r="T71" i="86" s="1"/>
  <c r="G44" i="86"/>
  <c r="H44" i="86"/>
  <c r="I44" i="86"/>
  <c r="J44" i="86"/>
  <c r="L44" i="86"/>
  <c r="L35" i="85"/>
  <c r="M44" i="86"/>
  <c r="M35" i="85"/>
  <c r="N44" i="86"/>
  <c r="O44" i="86"/>
  <c r="G45" i="86"/>
  <c r="H45" i="86"/>
  <c r="H36" i="85"/>
  <c r="I45" i="86"/>
  <c r="I36" i="85"/>
  <c r="J45" i="86"/>
  <c r="L45" i="86"/>
  <c r="M45" i="86"/>
  <c r="M36" i="85"/>
  <c r="N45" i="86"/>
  <c r="O45" i="86"/>
  <c r="G46" i="86"/>
  <c r="G37" i="85"/>
  <c r="H46" i="86"/>
  <c r="H37" i="85"/>
  <c r="U7" i="86" s="1"/>
  <c r="V7" i="86" s="1"/>
  <c r="S7" i="86" s="1"/>
  <c r="I46" i="86"/>
  <c r="J46" i="86"/>
  <c r="L46" i="86"/>
  <c r="M46" i="86"/>
  <c r="M37" i="85"/>
  <c r="N46" i="86"/>
  <c r="N37" i="85"/>
  <c r="O46" i="86"/>
  <c r="G47" i="86"/>
  <c r="G38" i="85"/>
  <c r="U8" i="86" s="1"/>
  <c r="H47" i="86"/>
  <c r="I47" i="86"/>
  <c r="J47" i="86"/>
  <c r="J38" i="85"/>
  <c r="L47" i="86"/>
  <c r="M47" i="86"/>
  <c r="N47" i="86"/>
  <c r="O47" i="86"/>
  <c r="O38" i="85"/>
  <c r="T8" i="86" s="1"/>
  <c r="G48" i="86"/>
  <c r="G39" i="85"/>
  <c r="H48" i="86"/>
  <c r="I48" i="86"/>
  <c r="I39" i="85"/>
  <c r="J48" i="86"/>
  <c r="J39" i="85"/>
  <c r="L48" i="86"/>
  <c r="L39" i="85"/>
  <c r="M48" i="86"/>
  <c r="N48" i="86"/>
  <c r="O48" i="86"/>
  <c r="O39" i="85"/>
  <c r="T9" i="86" s="1"/>
  <c r="G49" i="86"/>
  <c r="G40" i="85"/>
  <c r="H49" i="86"/>
  <c r="I49" i="86"/>
  <c r="J49" i="86"/>
  <c r="J40" i="85"/>
  <c r="U10" i="86" s="1"/>
  <c r="L49" i="86"/>
  <c r="M49" i="86"/>
  <c r="M40" i="85"/>
  <c r="N49" i="86"/>
  <c r="O49" i="86"/>
  <c r="O40" i="85"/>
  <c r="T10" i="86" s="1"/>
  <c r="G50" i="86"/>
  <c r="H50" i="86"/>
  <c r="I50" i="86"/>
  <c r="I41" i="85"/>
  <c r="J50" i="86"/>
  <c r="J41" i="85"/>
  <c r="L50" i="86"/>
  <c r="M50" i="86"/>
  <c r="N50" i="86"/>
  <c r="O50" i="86"/>
  <c r="O41" i="85"/>
  <c r="T11" i="86" s="1"/>
  <c r="G51" i="86"/>
  <c r="G42" i="85"/>
  <c r="H51" i="86"/>
  <c r="I51" i="86"/>
  <c r="J51" i="86"/>
  <c r="J42" i="85"/>
  <c r="L51" i="86"/>
  <c r="M51" i="86"/>
  <c r="N51" i="86"/>
  <c r="N42" i="85"/>
  <c r="O51" i="86"/>
  <c r="O42" i="85"/>
  <c r="T12" i="86" s="1"/>
  <c r="G52" i="86"/>
  <c r="H52" i="86"/>
  <c r="I52" i="86"/>
  <c r="I43" i="85"/>
  <c r="J52" i="86"/>
  <c r="J43" i="85"/>
  <c r="L52" i="86"/>
  <c r="M52" i="86"/>
  <c r="N52" i="86"/>
  <c r="N43" i="85"/>
  <c r="O52" i="86"/>
  <c r="G53" i="86"/>
  <c r="H53" i="86"/>
  <c r="H44" i="85"/>
  <c r="I53" i="86"/>
  <c r="I44" i="85"/>
  <c r="J53" i="86"/>
  <c r="L53" i="86"/>
  <c r="M53" i="86"/>
  <c r="N53" i="86"/>
  <c r="N44" i="85"/>
  <c r="O53" i="86"/>
  <c r="O44" i="85"/>
  <c r="T14" i="86" s="1"/>
  <c r="G54" i="86"/>
  <c r="H54" i="86"/>
  <c r="I54" i="86"/>
  <c r="J54" i="86"/>
  <c r="L54" i="86"/>
  <c r="M54" i="86"/>
  <c r="M45" i="85"/>
  <c r="N54" i="86"/>
  <c r="O54" i="86"/>
  <c r="G56" i="86"/>
  <c r="H56" i="86"/>
  <c r="I56" i="86"/>
  <c r="J56" i="86"/>
  <c r="L56" i="86"/>
  <c r="M56" i="86"/>
  <c r="N56" i="86"/>
  <c r="G57" i="86"/>
  <c r="H57" i="86"/>
  <c r="I57" i="86"/>
  <c r="J57" i="86"/>
  <c r="L57" i="86"/>
  <c r="M57" i="86"/>
  <c r="N57" i="86"/>
  <c r="G58" i="86"/>
  <c r="H58" i="86"/>
  <c r="I58" i="86"/>
  <c r="J58" i="86"/>
  <c r="L58" i="86"/>
  <c r="M58" i="86"/>
  <c r="N58" i="86"/>
  <c r="G59" i="86"/>
  <c r="H59" i="86"/>
  <c r="I59" i="86"/>
  <c r="J59" i="86"/>
  <c r="L59" i="86"/>
  <c r="M59" i="86"/>
  <c r="N59" i="86"/>
  <c r="G60" i="86"/>
  <c r="H60" i="86"/>
  <c r="I60" i="86"/>
  <c r="J60" i="86"/>
  <c r="L60" i="86"/>
  <c r="M60" i="86"/>
  <c r="N60" i="86"/>
  <c r="G61" i="86"/>
  <c r="H61" i="86"/>
  <c r="I61" i="86"/>
  <c r="J61" i="86"/>
  <c r="L61" i="86"/>
  <c r="M61" i="86"/>
  <c r="N61" i="86"/>
  <c r="G62" i="86"/>
  <c r="H62" i="86"/>
  <c r="I62" i="86"/>
  <c r="J62" i="86"/>
  <c r="L62" i="86"/>
  <c r="M62" i="86"/>
  <c r="N62" i="86"/>
  <c r="G63" i="86"/>
  <c r="H63" i="86"/>
  <c r="I63" i="86"/>
  <c r="J63" i="86"/>
  <c r="L63" i="86"/>
  <c r="M63" i="86"/>
  <c r="N63" i="86"/>
  <c r="G64" i="86"/>
  <c r="H64" i="86"/>
  <c r="I64" i="86"/>
  <c r="J64" i="86"/>
  <c r="L64" i="86"/>
  <c r="M64" i="86"/>
  <c r="N64" i="86"/>
  <c r="G65" i="86"/>
  <c r="H65" i="86"/>
  <c r="I65" i="86"/>
  <c r="J65" i="86"/>
  <c r="L65" i="86"/>
  <c r="M65" i="86"/>
  <c r="N65" i="86"/>
  <c r="G66" i="86"/>
  <c r="H66" i="86"/>
  <c r="I66" i="86"/>
  <c r="J66" i="86"/>
  <c r="L66" i="86"/>
  <c r="M66" i="86"/>
  <c r="N66" i="86"/>
  <c r="G67" i="86"/>
  <c r="H67" i="86"/>
  <c r="I67" i="86"/>
  <c r="J67" i="86"/>
  <c r="L67" i="86"/>
  <c r="M67" i="86"/>
  <c r="N67" i="86"/>
  <c r="G68" i="86"/>
  <c r="H68" i="86"/>
  <c r="I68" i="86"/>
  <c r="J68" i="86"/>
  <c r="L68" i="86"/>
  <c r="M68" i="86"/>
  <c r="N68" i="86"/>
  <c r="G69" i="86"/>
  <c r="H69" i="86"/>
  <c r="H60" i="85"/>
  <c r="I69" i="86"/>
  <c r="I60" i="85"/>
  <c r="J69" i="86"/>
  <c r="L69" i="86"/>
  <c r="M69" i="86"/>
  <c r="N69" i="86"/>
  <c r="N60" i="85"/>
  <c r="O69" i="86"/>
  <c r="O60" i="85"/>
  <c r="T30" i="86"/>
  <c r="G70" i="86"/>
  <c r="H70" i="86"/>
  <c r="I70" i="86"/>
  <c r="J70" i="86"/>
  <c r="J61" i="85"/>
  <c r="L70" i="86"/>
  <c r="M70" i="86"/>
  <c r="M61" i="85"/>
  <c r="N70" i="86"/>
  <c r="N61" i="85"/>
  <c r="O70" i="86"/>
  <c r="G71" i="86"/>
  <c r="H71" i="86"/>
  <c r="H62" i="85"/>
  <c r="I71" i="86"/>
  <c r="I62" i="85"/>
  <c r="J71" i="86"/>
  <c r="L71" i="86"/>
  <c r="M71" i="86"/>
  <c r="N71" i="86"/>
  <c r="O71" i="86"/>
  <c r="Q5" i="85"/>
  <c r="O44" i="91" s="1"/>
  <c r="R5" i="85"/>
  <c r="M44" i="91"/>
  <c r="AB5" i="85"/>
  <c r="S5" i="86" s="1"/>
  <c r="Q6" i="85"/>
  <c r="R6" i="85"/>
  <c r="M46" i="91"/>
  <c r="AB6" i="85"/>
  <c r="AB34" i="85" s="1"/>
  <c r="Q7" i="85"/>
  <c r="R7" i="85"/>
  <c r="M48" i="91"/>
  <c r="AB7" i="85"/>
  <c r="Q8" i="85"/>
  <c r="O49" i="91" s="1"/>
  <c r="R8" i="85"/>
  <c r="M49" i="91" s="1"/>
  <c r="AB8" i="85"/>
  <c r="Q9" i="85"/>
  <c r="O51" i="91" s="1"/>
  <c r="R9" i="85"/>
  <c r="M51" i="91" s="1"/>
  <c r="AB9" i="85"/>
  <c r="Q10" i="85"/>
  <c r="O52" i="91" s="1"/>
  <c r="R10" i="85"/>
  <c r="M52" i="91" s="1"/>
  <c r="AB10" i="85"/>
  <c r="S10" i="86" s="1"/>
  <c r="Q11" i="85"/>
  <c r="O54" i="91"/>
  <c r="R11" i="85"/>
  <c r="M54" i="91" s="1"/>
  <c r="AB11" i="85"/>
  <c r="Q12" i="85"/>
  <c r="O53" i="91" s="1"/>
  <c r="R12" i="85"/>
  <c r="M53" i="91" s="1"/>
  <c r="AB12" i="85"/>
  <c r="Q13" i="85"/>
  <c r="O55" i="91" s="1"/>
  <c r="R13" i="85"/>
  <c r="M55" i="91" s="1"/>
  <c r="AB13" i="85"/>
  <c r="Q14" i="85"/>
  <c r="O57" i="91" s="1"/>
  <c r="R14" i="85"/>
  <c r="AB14" i="85"/>
  <c r="S14" i="86" s="1"/>
  <c r="Q15" i="85"/>
  <c r="O56" i="91" s="1"/>
  <c r="R15" i="85"/>
  <c r="M56" i="91" s="1"/>
  <c r="AB15" i="85"/>
  <c r="AB16" i="85"/>
  <c r="Q17" i="85"/>
  <c r="R17" i="85"/>
  <c r="AB17" i="85"/>
  <c r="Q18" i="85"/>
  <c r="R18" i="85"/>
  <c r="AB18" i="85"/>
  <c r="Q19" i="85"/>
  <c r="R19" i="85"/>
  <c r="AB19" i="85"/>
  <c r="Q20" i="85"/>
  <c r="R20" i="85"/>
  <c r="AB20" i="85"/>
  <c r="Q21" i="85"/>
  <c r="R21" i="85"/>
  <c r="AB21" i="85"/>
  <c r="Q22" i="85"/>
  <c r="R22" i="85"/>
  <c r="AB22" i="85"/>
  <c r="Q23" i="85"/>
  <c r="R23" i="85"/>
  <c r="AB23" i="85"/>
  <c r="Q24" i="85"/>
  <c r="R24" i="85"/>
  <c r="AB24" i="85"/>
  <c r="Q25" i="85"/>
  <c r="R25" i="85"/>
  <c r="AB25" i="85"/>
  <c r="Q26" i="85"/>
  <c r="R26" i="85"/>
  <c r="AB26" i="85"/>
  <c r="Q27" i="85"/>
  <c r="R27" i="85"/>
  <c r="AB27" i="85"/>
  <c r="Q28" i="85"/>
  <c r="R28" i="85"/>
  <c r="AB28" i="85"/>
  <c r="Q29" i="85"/>
  <c r="R29" i="85"/>
  <c r="AB29" i="85"/>
  <c r="Q30" i="85"/>
  <c r="O45" i="91"/>
  <c r="R30" i="85"/>
  <c r="M45" i="91"/>
  <c r="AB30" i="85"/>
  <c r="Q31" i="85"/>
  <c r="O47" i="91"/>
  <c r="R31" i="85"/>
  <c r="M47" i="91" s="1"/>
  <c r="AB31" i="85"/>
  <c r="Q32" i="85"/>
  <c r="O50" i="91"/>
  <c r="R32" i="85"/>
  <c r="M50" i="91" s="1"/>
  <c r="AB32" i="85"/>
  <c r="O34" i="85"/>
  <c r="G35" i="85"/>
  <c r="U5" i="86" s="1"/>
  <c r="H35" i="85"/>
  <c r="I35" i="85"/>
  <c r="J35" i="85"/>
  <c r="K35" i="85"/>
  <c r="N35" i="85"/>
  <c r="O35" i="85"/>
  <c r="T5" i="86" s="1"/>
  <c r="G36" i="85"/>
  <c r="U6" i="86" s="1"/>
  <c r="V6" i="86" s="1"/>
  <c r="J36" i="85"/>
  <c r="K36" i="85"/>
  <c r="L36" i="85"/>
  <c r="N36" i="85"/>
  <c r="I37" i="85"/>
  <c r="J37" i="85"/>
  <c r="K37" i="85"/>
  <c r="L37" i="85"/>
  <c r="O37" i="85"/>
  <c r="T7" i="86" s="1"/>
  <c r="W37" i="85"/>
  <c r="H38" i="85"/>
  <c r="I38" i="85"/>
  <c r="K38" i="85"/>
  <c r="L38" i="85"/>
  <c r="M38" i="85"/>
  <c r="N38" i="85"/>
  <c r="V8" i="86"/>
  <c r="P8" i="86" s="1"/>
  <c r="H39" i="85"/>
  <c r="K39" i="85"/>
  <c r="M39" i="85"/>
  <c r="N39" i="85"/>
  <c r="H40" i="85"/>
  <c r="I40" i="85"/>
  <c r="K40" i="85"/>
  <c r="L40" i="85"/>
  <c r="N40" i="85"/>
  <c r="G41" i="85"/>
  <c r="H41" i="85"/>
  <c r="K41" i="85"/>
  <c r="L41" i="85"/>
  <c r="M41" i="85"/>
  <c r="N41" i="85"/>
  <c r="V11" i="86"/>
  <c r="S11" i="86" s="1"/>
  <c r="H42" i="85"/>
  <c r="I42" i="85"/>
  <c r="K42" i="85"/>
  <c r="L42" i="85"/>
  <c r="M42" i="85"/>
  <c r="G43" i="85"/>
  <c r="H43" i="85"/>
  <c r="K43" i="85"/>
  <c r="U13" i="86" s="1"/>
  <c r="V13" i="86" s="1"/>
  <c r="S13" i="86" s="1"/>
  <c r="L43" i="85"/>
  <c r="M43" i="85"/>
  <c r="O43" i="85"/>
  <c r="T13" i="86" s="1"/>
  <c r="G44" i="85"/>
  <c r="J44" i="85"/>
  <c r="K44" i="85"/>
  <c r="L44" i="85"/>
  <c r="M44" i="85"/>
  <c r="G45" i="85"/>
  <c r="U15" i="86" s="1"/>
  <c r="V15" i="86" s="1"/>
  <c r="S15" i="86" s="1"/>
  <c r="H45" i="85"/>
  <c r="I45" i="85"/>
  <c r="J45" i="85"/>
  <c r="K45" i="85"/>
  <c r="L45" i="85"/>
  <c r="N45" i="85"/>
  <c r="O45" i="85"/>
  <c r="T15" i="86" s="1"/>
  <c r="G60" i="85"/>
  <c r="U30" i="86" s="1"/>
  <c r="V30" i="86" s="1"/>
  <c r="J60" i="85"/>
  <c r="K60" i="85"/>
  <c r="L60" i="85"/>
  <c r="M60" i="85"/>
  <c r="G61" i="85"/>
  <c r="H61" i="85"/>
  <c r="I61" i="85"/>
  <c r="K61" i="85"/>
  <c r="L61" i="85"/>
  <c r="O61" i="85"/>
  <c r="T31" i="86" s="1"/>
  <c r="G62" i="85"/>
  <c r="J62" i="85"/>
  <c r="K62" i="85"/>
  <c r="L62" i="85"/>
  <c r="M62" i="85"/>
  <c r="N62" i="85"/>
  <c r="O62" i="85"/>
  <c r="T32" i="86" s="1"/>
  <c r="Q66" i="85"/>
  <c r="Q67" i="85"/>
  <c r="J68" i="85"/>
  <c r="J102" i="85" s="1"/>
  <c r="Q68" i="85"/>
  <c r="J69" i="85"/>
  <c r="J103" i="85"/>
  <c r="Q69" i="85"/>
  <c r="J70" i="85"/>
  <c r="J104" i="85" s="1"/>
  <c r="Q70" i="85"/>
  <c r="J71" i="85"/>
  <c r="J105" i="85" s="1"/>
  <c r="Q71" i="85"/>
  <c r="J72" i="85"/>
  <c r="J106" i="85" s="1"/>
  <c r="Q72" i="85"/>
  <c r="J73" i="85"/>
  <c r="Q73" i="85"/>
  <c r="AU18" i="78" s="1"/>
  <c r="O13" i="88" s="1"/>
  <c r="J74" i="85"/>
  <c r="J108" i="85" s="1"/>
  <c r="Q74" i="85"/>
  <c r="Q75" i="85"/>
  <c r="R75" i="85" s="1"/>
  <c r="J76" i="85"/>
  <c r="J110" i="85"/>
  <c r="Q76" i="85"/>
  <c r="Q78" i="85"/>
  <c r="J79" i="85"/>
  <c r="J113" i="85"/>
  <c r="Q79" i="85"/>
  <c r="J80" i="85"/>
  <c r="J114" i="85" s="1"/>
  <c r="Q80" i="85"/>
  <c r="W101" i="85"/>
  <c r="W104" i="85"/>
  <c r="W106" i="85"/>
  <c r="G134" i="85"/>
  <c r="H134" i="85"/>
  <c r="I134" i="85"/>
  <c r="J134" i="85"/>
  <c r="K134" i="85"/>
  <c r="L134" i="85"/>
  <c r="M134" i="85"/>
  <c r="N134" i="85"/>
  <c r="O134" i="85"/>
  <c r="G135" i="85"/>
  <c r="H135" i="85"/>
  <c r="H149" i="85" s="1"/>
  <c r="I135" i="85"/>
  <c r="J135" i="85"/>
  <c r="K135" i="85"/>
  <c r="L135" i="85"/>
  <c r="M135" i="85"/>
  <c r="N135" i="85"/>
  <c r="O135" i="85"/>
  <c r="G136" i="85"/>
  <c r="H136" i="85"/>
  <c r="I136" i="85"/>
  <c r="J136" i="85"/>
  <c r="K136" i="85"/>
  <c r="L136" i="85"/>
  <c r="M136" i="85"/>
  <c r="N136" i="85"/>
  <c r="O136" i="85"/>
  <c r="G137" i="85"/>
  <c r="H137" i="85"/>
  <c r="I137" i="85"/>
  <c r="J137" i="85"/>
  <c r="K137" i="85"/>
  <c r="L137" i="85"/>
  <c r="M137" i="85"/>
  <c r="N137" i="85"/>
  <c r="N149" i="85" s="1"/>
  <c r="O137" i="85"/>
  <c r="G138" i="85"/>
  <c r="H138" i="85"/>
  <c r="I138" i="85"/>
  <c r="J138" i="85"/>
  <c r="K138" i="85"/>
  <c r="K149" i="85" s="1"/>
  <c r="L138" i="85"/>
  <c r="M138" i="85"/>
  <c r="N138" i="85"/>
  <c r="O138" i="85"/>
  <c r="G139" i="85"/>
  <c r="H139" i="85"/>
  <c r="I139" i="85"/>
  <c r="J139" i="85"/>
  <c r="K139" i="85"/>
  <c r="L139" i="85"/>
  <c r="M139" i="85"/>
  <c r="N139" i="85"/>
  <c r="O139" i="85"/>
  <c r="G140" i="85"/>
  <c r="H140" i="85"/>
  <c r="I140" i="85"/>
  <c r="J140" i="85"/>
  <c r="K140" i="85"/>
  <c r="L140" i="85"/>
  <c r="M140" i="85"/>
  <c r="N140" i="85"/>
  <c r="O140" i="85"/>
  <c r="G141" i="85"/>
  <c r="H141" i="85"/>
  <c r="I141" i="85"/>
  <c r="J141" i="85"/>
  <c r="K141" i="85"/>
  <c r="L141" i="85"/>
  <c r="M141" i="85"/>
  <c r="N141" i="85"/>
  <c r="O141" i="85"/>
  <c r="G142" i="85"/>
  <c r="H142" i="85"/>
  <c r="I142" i="85"/>
  <c r="J142" i="85"/>
  <c r="K142" i="85"/>
  <c r="L142" i="85"/>
  <c r="M142" i="85"/>
  <c r="N142" i="85"/>
  <c r="O142" i="85"/>
  <c r="G143" i="85"/>
  <c r="H143" i="85"/>
  <c r="I143" i="85"/>
  <c r="J143" i="85"/>
  <c r="K143" i="85"/>
  <c r="L143" i="85"/>
  <c r="M143" i="85"/>
  <c r="N143" i="85"/>
  <c r="O143" i="85"/>
  <c r="G144" i="85"/>
  <c r="H144" i="85"/>
  <c r="I144" i="85"/>
  <c r="J144" i="85"/>
  <c r="K144" i="85"/>
  <c r="L144" i="85"/>
  <c r="M144" i="85"/>
  <c r="N144" i="85"/>
  <c r="O144" i="85"/>
  <c r="G145" i="85"/>
  <c r="H145" i="85"/>
  <c r="I145" i="85"/>
  <c r="J145" i="85"/>
  <c r="K145" i="85"/>
  <c r="L145" i="85"/>
  <c r="M145" i="85"/>
  <c r="N145" i="85"/>
  <c r="O145" i="85"/>
  <c r="G146" i="85"/>
  <c r="H146" i="85"/>
  <c r="I146" i="85"/>
  <c r="J146" i="85"/>
  <c r="K146" i="85"/>
  <c r="L146" i="85"/>
  <c r="M146" i="85"/>
  <c r="N146" i="85"/>
  <c r="O146" i="85"/>
  <c r="G147" i="85"/>
  <c r="H147" i="85"/>
  <c r="I147" i="85"/>
  <c r="J147" i="85"/>
  <c r="K147" i="85"/>
  <c r="L147" i="85"/>
  <c r="M147" i="85"/>
  <c r="N147" i="85"/>
  <c r="O147" i="85"/>
  <c r="G148" i="85"/>
  <c r="H148" i="85"/>
  <c r="I148" i="85"/>
  <c r="J148" i="85"/>
  <c r="K148" i="85"/>
  <c r="L148" i="85"/>
  <c r="M148" i="85"/>
  <c r="N148" i="85"/>
  <c r="O148" i="85"/>
  <c r="C156" i="85"/>
  <c r="C157" i="85"/>
  <c r="C158" i="85"/>
  <c r="C159" i="85" s="1"/>
  <c r="C160" i="85"/>
  <c r="C161" i="85" s="1"/>
  <c r="A9" i="84"/>
  <c r="F9" i="84"/>
  <c r="G9" i="84"/>
  <c r="I9" i="84"/>
  <c r="A10" i="84"/>
  <c r="F10" i="84"/>
  <c r="A11" i="84"/>
  <c r="A12" i="84"/>
  <c r="C12" i="84"/>
  <c r="M45" i="84"/>
  <c r="A13" i="84"/>
  <c r="C14" i="84"/>
  <c r="A15" i="84"/>
  <c r="A16" i="84"/>
  <c r="A17" i="84"/>
  <c r="C18" i="84"/>
  <c r="A18" i="84"/>
  <c r="A19" i="84"/>
  <c r="F19" i="84"/>
  <c r="A21" i="84"/>
  <c r="F11" i="84"/>
  <c r="A22" i="84"/>
  <c r="F22" i="84"/>
  <c r="A23" i="84"/>
  <c r="C24" i="84"/>
  <c r="A25" i="84"/>
  <c r="F25" i="84"/>
  <c r="A27" i="84"/>
  <c r="F12" i="84"/>
  <c r="A28" i="84"/>
  <c r="A29" i="84"/>
  <c r="A30" i="84"/>
  <c r="C30" i="84"/>
  <c r="A31" i="84"/>
  <c r="C32" i="84"/>
  <c r="A32" i="84"/>
  <c r="A33" i="84"/>
  <c r="F13" i="84"/>
  <c r="A34" i="84"/>
  <c r="A35" i="84"/>
  <c r="C36" i="84"/>
  <c r="M42" i="84"/>
  <c r="L36" i="84"/>
  <c r="P36" i="84"/>
  <c r="N36" i="84"/>
  <c r="N7" i="82"/>
  <c r="L7" i="82" s="1"/>
  <c r="A37" i="84"/>
  <c r="L37" i="84"/>
  <c r="P37" i="84"/>
  <c r="N37" i="84"/>
  <c r="L38" i="84"/>
  <c r="M38" i="84"/>
  <c r="N38" i="84"/>
  <c r="N9" i="82"/>
  <c r="K9" i="82" s="1"/>
  <c r="A39" i="84"/>
  <c r="F14" i="84"/>
  <c r="L39" i="84"/>
  <c r="N39" i="84"/>
  <c r="N10" i="82"/>
  <c r="A40" i="84"/>
  <c r="I40" i="84"/>
  <c r="J40" i="84"/>
  <c r="L40" i="84"/>
  <c r="N40" i="84"/>
  <c r="N11" i="82"/>
  <c r="K11" i="82" s="1"/>
  <c r="A41" i="84"/>
  <c r="L41" i="84"/>
  <c r="N41" i="84"/>
  <c r="N12" i="82"/>
  <c r="L12" i="82" s="1"/>
  <c r="A42" i="84"/>
  <c r="C42" i="84"/>
  <c r="C44" i="84"/>
  <c r="O38" i="84"/>
  <c r="L42" i="84"/>
  <c r="N42" i="84"/>
  <c r="N13" i="82"/>
  <c r="L13" i="82" s="1"/>
  <c r="A43" i="84"/>
  <c r="L43" i="84"/>
  <c r="P43" i="84"/>
  <c r="I14" i="82"/>
  <c r="M43" i="84"/>
  <c r="N43" i="84"/>
  <c r="N14" i="82"/>
  <c r="L14" i="82" s="1"/>
  <c r="L44" i="84"/>
  <c r="P44" i="84"/>
  <c r="N44" i="84"/>
  <c r="A45" i="84"/>
  <c r="F15" i="84"/>
  <c r="L45" i="84"/>
  <c r="N45" i="84"/>
  <c r="N16" i="82"/>
  <c r="L16" i="82" s="1"/>
  <c r="A46" i="84"/>
  <c r="L46" i="84"/>
  <c r="N46" i="84"/>
  <c r="N17" i="82"/>
  <c r="L17" i="82" s="1"/>
  <c r="A47" i="84"/>
  <c r="V47" i="84"/>
  <c r="W47" i="84"/>
  <c r="A48" i="84"/>
  <c r="C48" i="84"/>
  <c r="M51" i="84"/>
  <c r="L48" i="84"/>
  <c r="N48" i="84"/>
  <c r="N19" i="82"/>
  <c r="K19" i="82" s="1"/>
  <c r="A49" i="84"/>
  <c r="L49" i="84"/>
  <c r="M49" i="84"/>
  <c r="N49" i="84"/>
  <c r="P49" i="84"/>
  <c r="C50" i="84"/>
  <c r="A50" i="84"/>
  <c r="L50" i="84"/>
  <c r="M50" i="84"/>
  <c r="N50" i="84"/>
  <c r="N21" i="82"/>
  <c r="K21" i="82" s="1"/>
  <c r="L21" i="82"/>
  <c r="A51" i="84"/>
  <c r="F16" i="84"/>
  <c r="L51" i="84"/>
  <c r="P51" i="84"/>
  <c r="N51" i="84"/>
  <c r="N22" i="82"/>
  <c r="L22" i="82" s="1"/>
  <c r="A52" i="84"/>
  <c r="L52" i="84"/>
  <c r="P52" i="84"/>
  <c r="M52" i="84"/>
  <c r="N52" i="84"/>
  <c r="A53" i="84"/>
  <c r="L53" i="84"/>
  <c r="P53" i="84"/>
  <c r="I24" i="82"/>
  <c r="M53" i="84"/>
  <c r="N53" i="84"/>
  <c r="A54" i="84"/>
  <c r="C54" i="84"/>
  <c r="L54" i="84"/>
  <c r="M54" i="84"/>
  <c r="N54" i="84"/>
  <c r="N25" i="82"/>
  <c r="L25" i="82" s="1"/>
  <c r="A55" i="84"/>
  <c r="L55" i="84"/>
  <c r="N55" i="84"/>
  <c r="N26" i="82"/>
  <c r="L26" i="82" s="1"/>
  <c r="C56" i="84"/>
  <c r="L56" i="84"/>
  <c r="N56" i="84"/>
  <c r="N27" i="82"/>
  <c r="K27" i="82" s="1"/>
  <c r="A57" i="84"/>
  <c r="F17" i="84"/>
  <c r="A58" i="84"/>
  <c r="A59" i="84"/>
  <c r="C60" i="84"/>
  <c r="A60" i="84"/>
  <c r="A61" i="84"/>
  <c r="A63" i="84"/>
  <c r="F18" i="84"/>
  <c r="A64" i="84"/>
  <c r="A65" i="84"/>
  <c r="A66" i="84"/>
  <c r="C66" i="84"/>
  <c r="M56" i="84"/>
  <c r="A67" i="84"/>
  <c r="A69" i="84"/>
  <c r="A70" i="84"/>
  <c r="A71" i="84"/>
  <c r="A72" i="84"/>
  <c r="C72" i="84"/>
  <c r="A73" i="84"/>
  <c r="C74" i="84"/>
  <c r="A75" i="84"/>
  <c r="F20" i="84"/>
  <c r="A76" i="84"/>
  <c r="A77" i="84"/>
  <c r="A78" i="84"/>
  <c r="C78" i="84"/>
  <c r="A79" i="84"/>
  <c r="C80" i="84"/>
  <c r="A80" i="84"/>
  <c r="A81" i="84"/>
  <c r="F21" i="84"/>
  <c r="A82" i="84"/>
  <c r="A83" i="84"/>
  <c r="C84" i="84"/>
  <c r="M37" i="84"/>
  <c r="A85" i="84"/>
  <c r="A87" i="84"/>
  <c r="A88" i="84"/>
  <c r="A89" i="84"/>
  <c r="A90" i="84"/>
  <c r="C90" i="84"/>
  <c r="M46" i="84"/>
  <c r="A91" i="84"/>
  <c r="A93" i="84"/>
  <c r="F23" i="84"/>
  <c r="A94" i="84"/>
  <c r="A95" i="84"/>
  <c r="C96" i="84"/>
  <c r="M41" i="84"/>
  <c r="A97" i="84"/>
  <c r="A99" i="84"/>
  <c r="F24" i="84"/>
  <c r="A100" i="84"/>
  <c r="A101" i="84"/>
  <c r="A102" i="84"/>
  <c r="C102" i="84"/>
  <c r="M39" i="84"/>
  <c r="A103" i="84"/>
  <c r="A104" i="84"/>
  <c r="C104" i="84"/>
  <c r="O39" i="84"/>
  <c r="A105" i="84"/>
  <c r="A106" i="84"/>
  <c r="A107" i="84"/>
  <c r="C108" i="84"/>
  <c r="A108" i="84"/>
  <c r="A109" i="84"/>
  <c r="C110" i="84"/>
  <c r="A111" i="84"/>
  <c r="F26" i="84"/>
  <c r="A112" i="84"/>
  <c r="A113" i="84"/>
  <c r="A114" i="84"/>
  <c r="C114" i="84"/>
  <c r="M44" i="84"/>
  <c r="A115" i="84"/>
  <c r="A117" i="84"/>
  <c r="F27" i="84"/>
  <c r="A118" i="84"/>
  <c r="A119" i="84"/>
  <c r="A120" i="84"/>
  <c r="C120" i="84"/>
  <c r="M40" i="84"/>
  <c r="A121" i="84"/>
  <c r="A123" i="84"/>
  <c r="F28" i="84"/>
  <c r="A124" i="84"/>
  <c r="A125" i="84"/>
  <c r="C126" i="84"/>
  <c r="M48" i="84"/>
  <c r="A127" i="84"/>
  <c r="I7" i="82"/>
  <c r="I8" i="82"/>
  <c r="N8" i="82"/>
  <c r="K8" i="82" s="1"/>
  <c r="I9" i="82"/>
  <c r="I12" i="82"/>
  <c r="G13" i="82"/>
  <c r="I13" i="82"/>
  <c r="I15" i="82"/>
  <c r="N15" i="82"/>
  <c r="K15" i="82" s="1"/>
  <c r="I17" i="82"/>
  <c r="B18" i="82"/>
  <c r="E18" i="82" s="1"/>
  <c r="C18" i="82"/>
  <c r="G18" i="82"/>
  <c r="I18" i="82"/>
  <c r="N18" i="82"/>
  <c r="K18" i="82" s="1"/>
  <c r="B19" i="82"/>
  <c r="E19" i="82" s="1"/>
  <c r="C19" i="82"/>
  <c r="I19" i="82"/>
  <c r="I20" i="82"/>
  <c r="I21" i="82"/>
  <c r="I22" i="82"/>
  <c r="I23" i="82"/>
  <c r="N23" i="82"/>
  <c r="K23" i="82" s="1"/>
  <c r="N24" i="82"/>
  <c r="K24" i="82" s="1"/>
  <c r="I25" i="82"/>
  <c r="I26" i="82"/>
  <c r="B7" i="81"/>
  <c r="C7" i="81"/>
  <c r="B9" i="81"/>
  <c r="C9" i="81"/>
  <c r="B10" i="81"/>
  <c r="C10" i="81"/>
  <c r="G10" i="81"/>
  <c r="B11" i="81"/>
  <c r="E11" i="81" s="1"/>
  <c r="C11" i="81"/>
  <c r="G11" i="81"/>
  <c r="B12" i="81"/>
  <c r="E12" i="81" s="1"/>
  <c r="C12" i="81"/>
  <c r="G12" i="81"/>
  <c r="B13" i="81"/>
  <c r="E13" i="81" s="1"/>
  <c r="C13" i="81"/>
  <c r="G13" i="81"/>
  <c r="B14" i="81"/>
  <c r="C14" i="81"/>
  <c r="G14" i="81"/>
  <c r="B15" i="81"/>
  <c r="C15" i="81"/>
  <c r="G15" i="81"/>
  <c r="B16" i="81"/>
  <c r="E16" i="81" s="1"/>
  <c r="C16" i="81"/>
  <c r="G16" i="81"/>
  <c r="B17" i="81"/>
  <c r="M17" i="81" s="1"/>
  <c r="C17" i="81"/>
  <c r="G17" i="81"/>
  <c r="B18" i="81"/>
  <c r="C18" i="81"/>
  <c r="G18" i="81"/>
  <c r="B19" i="81"/>
  <c r="C19" i="81"/>
  <c r="G19" i="81"/>
  <c r="B20" i="81"/>
  <c r="M20" i="81" s="1"/>
  <c r="C20" i="81"/>
  <c r="G20" i="81"/>
  <c r="B21" i="81"/>
  <c r="C21" i="81"/>
  <c r="G21" i="81"/>
  <c r="B22" i="81"/>
  <c r="M22" i="81" s="1"/>
  <c r="C22" i="81"/>
  <c r="G22" i="81"/>
  <c r="B23" i="81"/>
  <c r="M23" i="81" s="1"/>
  <c r="C23" i="81"/>
  <c r="G23" i="81"/>
  <c r="B24" i="81"/>
  <c r="E24" i="81" s="1"/>
  <c r="C24" i="81"/>
  <c r="A8" i="80"/>
  <c r="B9" i="80"/>
  <c r="C9" i="80"/>
  <c r="I41" i="106"/>
  <c r="B10" i="80"/>
  <c r="C10" i="80"/>
  <c r="I42" i="106"/>
  <c r="B11" i="80"/>
  <c r="C11" i="80"/>
  <c r="C22" i="80" s="1"/>
  <c r="C23" i="80" s="1"/>
  <c r="B12" i="80"/>
  <c r="C12" i="80"/>
  <c r="C24" i="80" s="1"/>
  <c r="C25" i="80" s="1"/>
  <c r="I44" i="106"/>
  <c r="K44" i="106"/>
  <c r="D13" i="80"/>
  <c r="E13" i="80"/>
  <c r="A14" i="80"/>
  <c r="B17" i="80"/>
  <c r="C17" i="80"/>
  <c r="B18" i="80"/>
  <c r="C18" i="80"/>
  <c r="B19" i="80"/>
  <c r="C19" i="80"/>
  <c r="A8" i="79"/>
  <c r="B9" i="79"/>
  <c r="B24" i="110" s="1"/>
  <c r="C9" i="79"/>
  <c r="L9" i="79"/>
  <c r="B10" i="79"/>
  <c r="C10" i="79"/>
  <c r="AJ10" i="79"/>
  <c r="AJ11" i="79" s="1"/>
  <c r="AK10" i="79"/>
  <c r="AK11" i="79" s="1"/>
  <c r="AK12" i="79" s="1"/>
  <c r="AL10" i="79"/>
  <c r="AL11" i="79" s="1"/>
  <c r="AL12" i="79" s="1"/>
  <c r="AO10" i="79"/>
  <c r="AO11" i="79" s="1"/>
  <c r="AP10" i="79"/>
  <c r="AP11" i="79" s="1"/>
  <c r="R77" i="85"/>
  <c r="S77" i="85" s="1"/>
  <c r="T77" i="85" s="1"/>
  <c r="U77" i="85" s="1"/>
  <c r="V77" i="85" s="1"/>
  <c r="W77" i="85" s="1"/>
  <c r="X77" i="85" s="1"/>
  <c r="Y77" i="85" s="1"/>
  <c r="Z77" i="85" s="1"/>
  <c r="AA77" i="85" s="1"/>
  <c r="AB77" i="85" s="1"/>
  <c r="AC77" i="85" s="1"/>
  <c r="B11" i="79"/>
  <c r="C11" i="79"/>
  <c r="C34" i="112" s="1"/>
  <c r="B13" i="79"/>
  <c r="C13" i="79"/>
  <c r="B95" i="85" s="1"/>
  <c r="B14" i="79"/>
  <c r="B36" i="111" s="1"/>
  <c r="C14" i="79"/>
  <c r="C36" i="112" s="1"/>
  <c r="B15" i="79"/>
  <c r="B38" i="106" s="1"/>
  <c r="C15" i="79"/>
  <c r="C37" i="111" s="1"/>
  <c r="B16" i="79"/>
  <c r="C16" i="79"/>
  <c r="B17" i="79"/>
  <c r="C17" i="79"/>
  <c r="D2" i="93" s="1"/>
  <c r="B18" i="79"/>
  <c r="C18" i="79"/>
  <c r="B19" i="79"/>
  <c r="C19" i="79"/>
  <c r="C55" i="127" s="1"/>
  <c r="B20" i="79"/>
  <c r="B43" i="106" s="1"/>
  <c r="C20" i="79"/>
  <c r="C56" i="127" s="1"/>
  <c r="B21" i="79"/>
  <c r="C21" i="79"/>
  <c r="C57" i="127" s="1"/>
  <c r="B22" i="79"/>
  <c r="B23" i="79"/>
  <c r="B46" i="106" s="1"/>
  <c r="C23" i="79"/>
  <c r="B25" i="79"/>
  <c r="B46" i="112" s="1"/>
  <c r="C25" i="79"/>
  <c r="B27" i="79"/>
  <c r="B47" i="111" s="1"/>
  <c r="C27" i="79"/>
  <c r="C63" i="127" s="1"/>
  <c r="B28" i="79"/>
  <c r="C28" i="79"/>
  <c r="C64" i="127" s="1"/>
  <c r="B29" i="79"/>
  <c r="C29" i="79"/>
  <c r="B30" i="79"/>
  <c r="B50" i="112" s="1"/>
  <c r="C30" i="79"/>
  <c r="C66" i="127" s="1"/>
  <c r="A31" i="79"/>
  <c r="B34" i="79"/>
  <c r="C34" i="79"/>
  <c r="B35" i="79"/>
  <c r="C35" i="79"/>
  <c r="C53" i="111" s="1"/>
  <c r="B36" i="79"/>
  <c r="B54" i="111" s="1"/>
  <c r="C36" i="79"/>
  <c r="C54" i="111" s="1"/>
  <c r="B37" i="79"/>
  <c r="B55" i="112" s="1"/>
  <c r="C37" i="79"/>
  <c r="AT37" i="79"/>
  <c r="AU37" i="79" s="1"/>
  <c r="B38" i="79"/>
  <c r="C38" i="79"/>
  <c r="AT38" i="79"/>
  <c r="AU38" i="79" s="1"/>
  <c r="B9" i="78"/>
  <c r="C9" i="78"/>
  <c r="B10" i="78"/>
  <c r="D10" i="78" s="1"/>
  <c r="F10" i="78" s="1"/>
  <c r="C10" i="78"/>
  <c r="A10" i="78" s="1"/>
  <c r="AL10" i="78"/>
  <c r="AL11" i="78" s="1"/>
  <c r="AL12" i="78" s="1"/>
  <c r="AL13" i="78" s="1"/>
  <c r="AL14" i="78" s="1"/>
  <c r="AL15" i="78" s="1"/>
  <c r="AL16" i="78" s="1"/>
  <c r="AL17" i="78" s="1"/>
  <c r="AL18" i="78" s="1"/>
  <c r="AL19" i="78" s="1"/>
  <c r="AL20" i="78" s="1"/>
  <c r="AL21" i="78" s="1"/>
  <c r="AL22" i="78" s="1"/>
  <c r="AL24" i="78" s="1"/>
  <c r="AM10" i="78"/>
  <c r="AM11" i="78" s="1"/>
  <c r="AM12" i="78" s="1"/>
  <c r="AM13" i="78" s="1"/>
  <c r="AM14" i="78" s="1"/>
  <c r="AM15" i="78" s="1"/>
  <c r="AM16" i="78" s="1"/>
  <c r="AM17" i="78" s="1"/>
  <c r="AM18" i="78" s="1"/>
  <c r="AM19" i="78" s="1"/>
  <c r="AM20" i="78" s="1"/>
  <c r="AM21" i="78" s="1"/>
  <c r="AM22" i="78" s="1"/>
  <c r="AM24" i="78" s="1"/>
  <c r="AN10" i="78"/>
  <c r="AN11" i="78" s="1"/>
  <c r="AN12" i="78" s="1"/>
  <c r="AN13" i="78" s="1"/>
  <c r="AN14" i="78" s="1"/>
  <c r="AN15" i="78" s="1"/>
  <c r="AN16" i="78" s="1"/>
  <c r="AN17" i="78" s="1"/>
  <c r="AN18" i="78" s="1"/>
  <c r="AN19" i="78" s="1"/>
  <c r="AN20" i="78" s="1"/>
  <c r="AN21" i="78" s="1"/>
  <c r="AN22" i="78" s="1"/>
  <c r="AN24" i="78" s="1"/>
  <c r="AO10" i="78"/>
  <c r="AO11" i="78" s="1"/>
  <c r="AO12" i="78" s="1"/>
  <c r="AO13" i="78" s="1"/>
  <c r="AO14" i="78" s="1"/>
  <c r="AO15" i="78" s="1"/>
  <c r="AO16" i="78" s="1"/>
  <c r="AO17" i="78" s="1"/>
  <c r="AO18" i="78" s="1"/>
  <c r="AO19" i="78" s="1"/>
  <c r="AO20" i="78" s="1"/>
  <c r="AO21" i="78" s="1"/>
  <c r="AO22" i="78" s="1"/>
  <c r="AO24" i="78" s="1"/>
  <c r="AP10" i="78"/>
  <c r="AP11" i="78" s="1"/>
  <c r="AP12" i="78" s="1"/>
  <c r="AP13" i="78" s="1"/>
  <c r="AP14" i="78" s="1"/>
  <c r="AP15" i="78" s="1"/>
  <c r="AP16" i="78" s="1"/>
  <c r="AP17" i="78" s="1"/>
  <c r="AP18" i="78" s="1"/>
  <c r="AP19" i="78" s="1"/>
  <c r="AP20" i="78" s="1"/>
  <c r="AP21" i="78" s="1"/>
  <c r="AP22" i="78" s="1"/>
  <c r="AP24" i="78" s="1"/>
  <c r="AQ10" i="78"/>
  <c r="AQ11" i="78" s="1"/>
  <c r="AQ12" i="78" s="1"/>
  <c r="AQ13" i="78" s="1"/>
  <c r="AQ14" i="78" s="1"/>
  <c r="AQ15" i="78" s="1"/>
  <c r="AQ16" i="78" s="1"/>
  <c r="AQ17" i="78" s="1"/>
  <c r="AQ18" i="78" s="1"/>
  <c r="AQ19" i="78" s="1"/>
  <c r="AQ20" i="78" s="1"/>
  <c r="AQ21" i="78" s="1"/>
  <c r="AQ22" i="78" s="1"/>
  <c r="AQ24" i="78" s="1"/>
  <c r="AR10" i="78"/>
  <c r="AR11" i="78" s="1"/>
  <c r="AR12" i="78" s="1"/>
  <c r="AR13" i="78" s="1"/>
  <c r="AR14" i="78" s="1"/>
  <c r="AR15" i="78" s="1"/>
  <c r="AR16" i="78" s="1"/>
  <c r="AR17" i="78" s="1"/>
  <c r="AR18" i="78" s="1"/>
  <c r="AR19" i="78" s="1"/>
  <c r="AR20" i="78" s="1"/>
  <c r="AR21" i="78" s="1"/>
  <c r="AR22" i="78" s="1"/>
  <c r="AR24" i="78" s="1"/>
  <c r="B11" i="78"/>
  <c r="C11" i="78"/>
  <c r="B12" i="78"/>
  <c r="B12" i="112" s="1"/>
  <c r="C12" i="78"/>
  <c r="A12" i="78" s="1"/>
  <c r="B13" i="78"/>
  <c r="B13" i="111" s="1"/>
  <c r="C13" i="78"/>
  <c r="A13" i="78" s="1"/>
  <c r="B14" i="78"/>
  <c r="B14" i="112" s="1"/>
  <c r="C14" i="78"/>
  <c r="A14" i="78" s="1"/>
  <c r="B15" i="78"/>
  <c r="C15" i="78"/>
  <c r="A15" i="78" s="1"/>
  <c r="B16" i="78"/>
  <c r="C16" i="78"/>
  <c r="B17" i="78"/>
  <c r="C17" i="78"/>
  <c r="B18" i="78"/>
  <c r="C18" i="78"/>
  <c r="C18" i="106" s="1"/>
  <c r="AT18" i="78"/>
  <c r="B19" i="78"/>
  <c r="C19" i="78"/>
  <c r="B20" i="78"/>
  <c r="B20" i="110" s="1"/>
  <c r="C20" i="78"/>
  <c r="B21" i="78"/>
  <c r="C21" i="78"/>
  <c r="A21" i="78" s="1"/>
  <c r="B22" i="78"/>
  <c r="D22" i="78" s="1"/>
  <c r="F22" i="78" s="1"/>
  <c r="C22" i="78"/>
  <c r="B23" i="78"/>
  <c r="B51" i="113" s="1"/>
  <c r="G53" i="113" s="1"/>
  <c r="C23" i="78"/>
  <c r="A23" i="78" s="1"/>
  <c r="R23" i="78"/>
  <c r="AF23" i="78" s="1"/>
  <c r="B24" i="78"/>
  <c r="B24" i="106" s="1"/>
  <c r="C24" i="78"/>
  <c r="B25" i="78"/>
  <c r="C25" i="78"/>
  <c r="B26" i="78"/>
  <c r="C26" i="78"/>
  <c r="C26" i="111" s="1"/>
  <c r="B27" i="78"/>
  <c r="C27" i="78"/>
  <c r="V16" i="79"/>
  <c r="B28" i="78"/>
  <c r="C28" i="78"/>
  <c r="R28" i="78"/>
  <c r="AF28" i="78" s="1"/>
  <c r="B29" i="78"/>
  <c r="C29" i="78"/>
  <c r="B117" i="85" s="1"/>
  <c r="S29" i="78"/>
  <c r="B30" i="78"/>
  <c r="B30" i="112" s="1"/>
  <c r="C30" i="78"/>
  <c r="B67" i="76"/>
  <c r="B7" i="82" s="1"/>
  <c r="E7" i="82" s="1"/>
  <c r="C67" i="76"/>
  <c r="C7" i="82" s="1"/>
  <c r="B68" i="76"/>
  <c r="B8" i="82" s="1"/>
  <c r="E8" i="82" s="1"/>
  <c r="C68" i="76"/>
  <c r="C8" i="82" s="1"/>
  <c r="B69" i="76"/>
  <c r="B9" i="82" s="1"/>
  <c r="E9" i="82" s="1"/>
  <c r="C69" i="76"/>
  <c r="C9" i="82" s="1"/>
  <c r="B70" i="76"/>
  <c r="B10" i="82" s="1"/>
  <c r="E10" i="82" s="1"/>
  <c r="C70" i="76"/>
  <c r="C10" i="82" s="1"/>
  <c r="B71" i="76"/>
  <c r="B11" i="82" s="1"/>
  <c r="E11" i="82" s="1"/>
  <c r="C71" i="76"/>
  <c r="C11" i="82" s="1"/>
  <c r="B72" i="76"/>
  <c r="B12" i="82" s="1"/>
  <c r="E12" i="82" s="1"/>
  <c r="C72" i="76"/>
  <c r="C12" i="82" s="1"/>
  <c r="B73" i="76"/>
  <c r="B13" i="82" s="1"/>
  <c r="E13" i="82" s="1"/>
  <c r="C73" i="76"/>
  <c r="C13" i="82" s="1"/>
  <c r="B74" i="76"/>
  <c r="B14" i="82" s="1"/>
  <c r="E14" i="82" s="1"/>
  <c r="C74" i="76"/>
  <c r="C14" i="82" s="1"/>
  <c r="B75" i="76"/>
  <c r="B15" i="82" s="1"/>
  <c r="E15" i="82" s="1"/>
  <c r="C75" i="76"/>
  <c r="C15" i="82" s="1"/>
  <c r="B76" i="76"/>
  <c r="B16" i="82" s="1"/>
  <c r="E16" i="82" s="1"/>
  <c r="C76" i="76"/>
  <c r="C16" i="82" s="1"/>
  <c r="B77" i="76"/>
  <c r="B17" i="82" s="1"/>
  <c r="E17" i="82" s="1"/>
  <c r="C77" i="76"/>
  <c r="C17" i="82" s="1"/>
  <c r="B80" i="76"/>
  <c r="B20" i="82" s="1"/>
  <c r="E20" i="82" s="1"/>
  <c r="C80" i="76"/>
  <c r="C20" i="82" s="1"/>
  <c r="B81" i="76"/>
  <c r="B21" i="82" s="1"/>
  <c r="E21" i="82" s="1"/>
  <c r="C81" i="76"/>
  <c r="C21" i="82" s="1"/>
  <c r="B82" i="76"/>
  <c r="B22" i="82" s="1"/>
  <c r="E22" i="82" s="1"/>
  <c r="C82" i="76"/>
  <c r="C22" i="82" s="1"/>
  <c r="B83" i="76"/>
  <c r="B23" i="82" s="1"/>
  <c r="E23" i="82" s="1"/>
  <c r="C83" i="76"/>
  <c r="C23" i="82" s="1"/>
  <c r="B84" i="76"/>
  <c r="B24" i="82" s="1"/>
  <c r="E24" i="82" s="1"/>
  <c r="C84" i="76"/>
  <c r="C24" i="82" s="1"/>
  <c r="B85" i="76"/>
  <c r="B25" i="82" s="1"/>
  <c r="E25" i="82" s="1"/>
  <c r="C85" i="76"/>
  <c r="C25" i="82" s="1"/>
  <c r="B86" i="76"/>
  <c r="B26" i="82" s="1"/>
  <c r="E26" i="82" s="1"/>
  <c r="C86" i="76"/>
  <c r="C26" i="82" s="1"/>
  <c r="B87" i="76"/>
  <c r="B27" i="82" s="1"/>
  <c r="E27" i="82" s="1"/>
  <c r="C87" i="76"/>
  <c r="C27" i="82" s="1"/>
  <c r="K26" i="82"/>
  <c r="M5" i="87"/>
  <c r="L8" i="87"/>
  <c r="P10" i="86"/>
  <c r="Q40" i="85" s="1"/>
  <c r="T49" i="86"/>
  <c r="Q62" i="85"/>
  <c r="Q61" i="85"/>
  <c r="V33" i="106"/>
  <c r="S10" i="97"/>
  <c r="L18" i="82"/>
  <c r="C122" i="84"/>
  <c r="A84" i="84"/>
  <c r="A44" i="84"/>
  <c r="P41" i="84"/>
  <c r="P54" i="91"/>
  <c r="Q53" i="91"/>
  <c r="AA73" i="95"/>
  <c r="Y18" i="97"/>
  <c r="H19" i="97"/>
  <c r="W18" i="97"/>
  <c r="V8" i="97"/>
  <c r="Y6" i="97"/>
  <c r="C92" i="84"/>
  <c r="P39" i="84"/>
  <c r="I10" i="82"/>
  <c r="P14" i="86"/>
  <c r="Q54" i="91"/>
  <c r="P53" i="91"/>
  <c r="S39" i="95"/>
  <c r="AA16" i="97"/>
  <c r="U8" i="97"/>
  <c r="W10" i="97"/>
  <c r="N20" i="82"/>
  <c r="L20" i="82" s="1"/>
  <c r="C62" i="84"/>
  <c r="O43" i="84"/>
  <c r="P40" i="84"/>
  <c r="M36" i="84"/>
  <c r="J62" i="95"/>
  <c r="Y16" i="97"/>
  <c r="AB9" i="97"/>
  <c r="AB10" i="97"/>
  <c r="S8" i="97"/>
  <c r="V6" i="97"/>
  <c r="V10" i="97"/>
  <c r="P38" i="84"/>
  <c r="M57" i="84"/>
  <c r="T19" i="97"/>
  <c r="P21" i="99"/>
  <c r="Q46" i="91"/>
  <c r="O16" i="97"/>
  <c r="W9" i="97"/>
  <c r="Q20" i="99"/>
  <c r="Q21" i="99"/>
  <c r="K14" i="82"/>
  <c r="C128" i="84"/>
  <c r="P54" i="84"/>
  <c r="A36" i="84"/>
  <c r="U11" i="86"/>
  <c r="V9" i="97"/>
  <c r="C98" i="84"/>
  <c r="C68" i="84"/>
  <c r="P45" i="84"/>
  <c r="I16" i="82"/>
  <c r="P48" i="91"/>
  <c r="N57" i="95"/>
  <c r="P57" i="95"/>
  <c r="Q57" i="95"/>
  <c r="G31" i="97"/>
  <c r="I19" i="97"/>
  <c r="X17" i="97"/>
  <c r="AC15" i="97"/>
  <c r="U9" i="97"/>
  <c r="H17" i="98"/>
  <c r="H19" i="98" s="1"/>
  <c r="C38" i="84"/>
  <c r="P5" i="86"/>
  <c r="T44" i="86" s="1"/>
  <c r="Q51" i="91"/>
  <c r="AA17" i="97"/>
  <c r="AA15" i="97"/>
  <c r="G17" i="98"/>
  <c r="G19" i="98" s="1"/>
  <c r="G20" i="98" s="1"/>
  <c r="A126" i="84"/>
  <c r="C116" i="84"/>
  <c r="O44" i="84"/>
  <c r="C86" i="84"/>
  <c r="P48" i="84"/>
  <c r="P42" i="84"/>
  <c r="P49" i="91"/>
  <c r="H134" i="95"/>
  <c r="I128" i="95"/>
  <c r="J61" i="95"/>
  <c r="I1" i="95" a="1"/>
  <c r="K1" i="95"/>
  <c r="Y17" i="97"/>
  <c r="U7" i="97"/>
  <c r="A96" i="84"/>
  <c r="P50" i="84"/>
  <c r="Q45" i="85"/>
  <c r="H22" i="78" s="1"/>
  <c r="Q57" i="91"/>
  <c r="P52" i="91"/>
  <c r="P51" i="91"/>
  <c r="I132" i="95"/>
  <c r="V15" i="97"/>
  <c r="Q52" i="91"/>
  <c r="G49" i="98"/>
  <c r="U10" i="97"/>
  <c r="O150" i="90"/>
  <c r="I137" i="90"/>
  <c r="U12" i="86"/>
  <c r="V12" i="86" s="1"/>
  <c r="S12" i="86" s="1"/>
  <c r="P141" i="90"/>
  <c r="N138" i="90"/>
  <c r="W10" i="79"/>
  <c r="H33" i="106" s="1"/>
  <c r="W35" i="85"/>
  <c r="J112" i="85"/>
  <c r="J100" i="85"/>
  <c r="A92" i="84"/>
  <c r="O46" i="84"/>
  <c r="P56" i="84"/>
  <c r="I27" i="82"/>
  <c r="N9" i="84"/>
  <c r="A62" i="84"/>
  <c r="O36" i="84"/>
  <c r="O54" i="84"/>
  <c r="A56" i="84"/>
  <c r="O51" i="84"/>
  <c r="A110" i="84"/>
  <c r="O50" i="84"/>
  <c r="J9" i="84"/>
  <c r="K9" i="84"/>
  <c r="L9" i="84"/>
  <c r="M9" i="84"/>
  <c r="H9" i="84"/>
  <c r="P55" i="84"/>
  <c r="P46" i="84"/>
  <c r="A128" i="84"/>
  <c r="O48" i="84"/>
  <c r="O42" i="84"/>
  <c r="A38" i="84"/>
  <c r="M55" i="84"/>
  <c r="A24" i="84"/>
  <c r="C26" i="84"/>
  <c r="D160" i="85"/>
  <c r="O41" i="84"/>
  <c r="A98" i="84"/>
  <c r="O45" i="84"/>
  <c r="A14" i="84"/>
  <c r="K10" i="82"/>
  <c r="L10" i="82"/>
  <c r="K17" i="82"/>
  <c r="A116" i="84"/>
  <c r="O52" i="84"/>
  <c r="K22" i="82"/>
  <c r="A74" i="84"/>
  <c r="O53" i="84"/>
  <c r="G10" i="84"/>
  <c r="F21" i="95"/>
  <c r="H21" i="95"/>
  <c r="N71" i="95"/>
  <c r="N72" i="95"/>
  <c r="N69" i="95"/>
  <c r="AK4" i="86"/>
  <c r="AW4" i="86"/>
  <c r="Z4" i="86"/>
  <c r="U31" i="86"/>
  <c r="V31" i="86" s="1"/>
  <c r="S31" i="86" s="1"/>
  <c r="L147" i="90"/>
  <c r="U9" i="86"/>
  <c r="V9" i="86" s="1"/>
  <c r="S9" i="86" s="1"/>
  <c r="U32" i="86"/>
  <c r="V32" i="86" s="1"/>
  <c r="S32" i="86" s="1"/>
  <c r="O36" i="85"/>
  <c r="T6" i="86" s="1"/>
  <c r="N144" i="90"/>
  <c r="O144" i="90"/>
  <c r="C20" i="84"/>
  <c r="O48" i="91"/>
  <c r="O46" i="91"/>
  <c r="O141" i="90"/>
  <c r="O57" i="95"/>
  <c r="O58" i="95"/>
  <c r="P58" i="95"/>
  <c r="Q58" i="95"/>
  <c r="I103" i="95"/>
  <c r="N101" i="95"/>
  <c r="N103" i="95"/>
  <c r="H104" i="95"/>
  <c r="F134" i="95"/>
  <c r="G129" i="95"/>
  <c r="L51" i="95"/>
  <c r="L60" i="95"/>
  <c r="J60" i="95"/>
  <c r="P11" i="86"/>
  <c r="Q41" i="85" s="1"/>
  <c r="I44" i="91"/>
  <c r="G67" i="95"/>
  <c r="K52" i="95"/>
  <c r="O51" i="95"/>
  <c r="O60" i="95"/>
  <c r="G72" i="95"/>
  <c r="R41" i="95"/>
  <c r="G29" i="95"/>
  <c r="R44" i="95"/>
  <c r="I131" i="95"/>
  <c r="L1" i="95"/>
  <c r="J1" i="95"/>
  <c r="I1" i="95"/>
  <c r="H32" i="95"/>
  <c r="H90" i="95"/>
  <c r="H91" i="95"/>
  <c r="H93" i="95"/>
  <c r="G23" i="95"/>
  <c r="L58" i="95"/>
  <c r="S56" i="95"/>
  <c r="I130" i="95"/>
  <c r="N54" i="95"/>
  <c r="M55" i="95"/>
  <c r="N55" i="95"/>
  <c r="L67" i="95"/>
  <c r="G51" i="98"/>
  <c r="H51" i="98"/>
  <c r="G52" i="98"/>
  <c r="H52" i="98"/>
  <c r="G53" i="98"/>
  <c r="H53" i="98"/>
  <c r="G130" i="95"/>
  <c r="R42" i="95"/>
  <c r="R46" i="95"/>
  <c r="L62" i="95"/>
  <c r="F12" i="95"/>
  <c r="H12" i="95"/>
  <c r="AA6" i="97"/>
  <c r="AA7" i="97"/>
  <c r="AA8" i="97"/>
  <c r="AA9" i="97"/>
  <c r="N10" i="97"/>
  <c r="L11" i="97"/>
  <c r="L61" i="95"/>
  <c r="L73" i="98"/>
  <c r="W15" i="97"/>
  <c r="W16" i="97"/>
  <c r="W17" i="97"/>
  <c r="X15" i="97"/>
  <c r="Y10" i="97"/>
  <c r="G30" i="97"/>
  <c r="V18" i="97"/>
  <c r="Z16" i="97"/>
  <c r="AB15" i="97"/>
  <c r="AB19" i="97"/>
  <c r="X9" i="97"/>
  <c r="X8" i="97"/>
  <c r="X7" i="97"/>
  <c r="X6" i="97"/>
  <c r="V17" i="97"/>
  <c r="V19" i="97"/>
  <c r="Z15" i="97"/>
  <c r="G29" i="97"/>
  <c r="B3" i="95" a="1"/>
  <c r="S18" i="97"/>
  <c r="U17" i="97"/>
  <c r="U19" i="97"/>
  <c r="R20" i="99"/>
  <c r="S20" i="99" s="1"/>
  <c r="V33" i="97"/>
  <c r="T9" i="97"/>
  <c r="T8" i="97"/>
  <c r="T7" i="97"/>
  <c r="T10" i="97"/>
  <c r="AC18" i="97"/>
  <c r="S17" i="97"/>
  <c r="U16" i="97"/>
  <c r="AC17" i="97"/>
  <c r="N20" i="99"/>
  <c r="M20" i="99" s="1"/>
  <c r="Z18" i="97"/>
  <c r="Z9" i="97"/>
  <c r="Z8" i="97"/>
  <c r="Z7" i="97"/>
  <c r="W44" i="106"/>
  <c r="W42" i="106"/>
  <c r="W41" i="106"/>
  <c r="W43" i="106"/>
  <c r="P57" i="84"/>
  <c r="O40" i="84"/>
  <c r="A122" i="84"/>
  <c r="X10" i="97"/>
  <c r="T53" i="86"/>
  <c r="Q44" i="85"/>
  <c r="O62" i="95"/>
  <c r="O37" i="84"/>
  <c r="A86" i="84"/>
  <c r="Z10" i="97"/>
  <c r="G128" i="95"/>
  <c r="J128" i="95"/>
  <c r="M128" i="95"/>
  <c r="N128" i="95"/>
  <c r="X18" i="97"/>
  <c r="Y19" i="97"/>
  <c r="O56" i="84"/>
  <c r="A68" i="84"/>
  <c r="I129" i="95"/>
  <c r="J129" i="95"/>
  <c r="G11" i="97"/>
  <c r="AA19" i="97"/>
  <c r="I11" i="97"/>
  <c r="AC19" i="97"/>
  <c r="J11" i="97"/>
  <c r="G131" i="95"/>
  <c r="S19" i="97"/>
  <c r="X16" i="97"/>
  <c r="S58" i="95"/>
  <c r="S60" i="95"/>
  <c r="S62" i="95"/>
  <c r="S64" i="95"/>
  <c r="S66" i="95"/>
  <c r="S68" i="95"/>
  <c r="S70" i="95"/>
  <c r="S72" i="95"/>
  <c r="S74" i="95"/>
  <c r="S76" i="95"/>
  <c r="S78" i="95"/>
  <c r="X61" i="95"/>
  <c r="X53" i="95"/>
  <c r="X58" i="95"/>
  <c r="X54" i="95"/>
  <c r="X56" i="95"/>
  <c r="X55" i="95"/>
  <c r="X52" i="95"/>
  <c r="F8" i="95"/>
  <c r="K67" i="95"/>
  <c r="K69" i="95"/>
  <c r="K72" i="95"/>
  <c r="B3" i="95"/>
  <c r="C3" i="95"/>
  <c r="D3" i="95"/>
  <c r="E3" i="95"/>
  <c r="G7" i="98"/>
  <c r="I106" i="98" s="1"/>
  <c r="G12" i="98"/>
  <c r="X60" i="95"/>
  <c r="X51" i="95"/>
  <c r="G9" i="98"/>
  <c r="M74" i="98" s="1"/>
  <c r="M55" i="98" s="1"/>
  <c r="G14" i="98"/>
  <c r="P74" i="98" s="1"/>
  <c r="AL4" i="86"/>
  <c r="AX4" i="86"/>
  <c r="AA4" i="86"/>
  <c r="O55" i="95"/>
  <c r="P55" i="95"/>
  <c r="Q55" i="95"/>
  <c r="H68" i="95"/>
  <c r="J131" i="95"/>
  <c r="O52" i="95"/>
  <c r="P52" i="95"/>
  <c r="Q52" i="95"/>
  <c r="G68" i="95"/>
  <c r="K129" i="95"/>
  <c r="L129" i="95"/>
  <c r="F27" i="95"/>
  <c r="H27" i="95"/>
  <c r="M129" i="95"/>
  <c r="N129" i="95"/>
  <c r="O49" i="84"/>
  <c r="A20" i="84"/>
  <c r="G27" i="84"/>
  <c r="R38" i="95"/>
  <c r="R40" i="95"/>
  <c r="Y78" i="95"/>
  <c r="Y79" i="95"/>
  <c r="AA79" i="95"/>
  <c r="F13" i="95"/>
  <c r="H13" i="95"/>
  <c r="L72" i="95"/>
  <c r="O54" i="95"/>
  <c r="O61" i="95"/>
  <c r="H72" i="95"/>
  <c r="P54" i="95"/>
  <c r="Q54" i="95"/>
  <c r="H67" i="95"/>
  <c r="H70" i="95"/>
  <c r="AA10" i="97"/>
  <c r="G132" i="95"/>
  <c r="J132" i="95"/>
  <c r="K10" i="84"/>
  <c r="L10" i="84"/>
  <c r="M10" i="84"/>
  <c r="N10" i="84"/>
  <c r="I10" i="84"/>
  <c r="H10" i="84"/>
  <c r="J10" i="84"/>
  <c r="R21" i="99"/>
  <c r="J130" i="95"/>
  <c r="W19" i="97"/>
  <c r="T50" i="86"/>
  <c r="H110" i="95"/>
  <c r="F24" i="95"/>
  <c r="H24" i="95"/>
  <c r="Q41" i="95"/>
  <c r="S41" i="95"/>
  <c r="Z19" i="97"/>
  <c r="G70" i="95"/>
  <c r="O55" i="84"/>
  <c r="O57" i="84"/>
  <c r="A26" i="84"/>
  <c r="O9" i="84"/>
  <c r="L52" i="95"/>
  <c r="K68" i="95"/>
  <c r="O23" i="95"/>
  <c r="X19" i="97"/>
  <c r="D11" i="97"/>
  <c r="E11" i="97"/>
  <c r="F11" i="97"/>
  <c r="O6" i="97"/>
  <c r="O7" i="97"/>
  <c r="O8" i="97"/>
  <c r="O9" i="97"/>
  <c r="H11" i="97"/>
  <c r="K11" i="97"/>
  <c r="M11" i="97"/>
  <c r="G8" i="98"/>
  <c r="M78" i="98" s="1"/>
  <c r="N77" i="98" s="1"/>
  <c r="G13" i="98"/>
  <c r="P78" i="98"/>
  <c r="Q77" i="98" s="1"/>
  <c r="N104" i="95"/>
  <c r="M105" i="95"/>
  <c r="K128" i="95"/>
  <c r="L128" i="95"/>
  <c r="F26" i="95"/>
  <c r="H26" i="95"/>
  <c r="Q43" i="95"/>
  <c r="S43" i="95"/>
  <c r="G11" i="84"/>
  <c r="G22" i="84"/>
  <c r="X62" i="95"/>
  <c r="X59" i="95"/>
  <c r="X57" i="95"/>
  <c r="G19" i="84"/>
  <c r="H19" i="84"/>
  <c r="X50" i="95"/>
  <c r="Z63" i="95"/>
  <c r="M71" i="95"/>
  <c r="J27" i="84"/>
  <c r="L27" i="84"/>
  <c r="M27" i="84"/>
  <c r="H27" i="84"/>
  <c r="K27" i="84"/>
  <c r="N27" i="84"/>
  <c r="I27" i="84"/>
  <c r="Z59" i="95"/>
  <c r="AC59" i="95"/>
  <c r="B9" i="95"/>
  <c r="B12" i="95"/>
  <c r="B27" i="95"/>
  <c r="B26" i="95"/>
  <c r="B21" i="95"/>
  <c r="B24" i="95"/>
  <c r="B7" i="95"/>
  <c r="B25" i="95"/>
  <c r="B8" i="95"/>
  <c r="B13" i="95"/>
  <c r="AC55" i="95"/>
  <c r="Z55" i="95"/>
  <c r="O10" i="84"/>
  <c r="AM4" i="86"/>
  <c r="AB4" i="86"/>
  <c r="AC56" i="95"/>
  <c r="Z56" i="95"/>
  <c r="I22" i="84"/>
  <c r="J22" i="84"/>
  <c r="L22" i="84"/>
  <c r="M22" i="84"/>
  <c r="N22" i="84"/>
  <c r="H22" i="84"/>
  <c r="K22" i="84"/>
  <c r="G24" i="84"/>
  <c r="F18" i="95"/>
  <c r="M72" i="95"/>
  <c r="Z62" i="95"/>
  <c r="AC62" i="95"/>
  <c r="K131" i="95"/>
  <c r="L131" i="95"/>
  <c r="F29" i="95"/>
  <c r="H29" i="95"/>
  <c r="Q44" i="95"/>
  <c r="S44" i="95"/>
  <c r="M131" i="95"/>
  <c r="N131" i="95"/>
  <c r="Z60" i="95"/>
  <c r="AC60" i="95"/>
  <c r="F9" i="95"/>
  <c r="H8" i="95"/>
  <c r="Z57" i="95"/>
  <c r="AC57" i="95"/>
  <c r="AC52" i="95"/>
  <c r="Z52" i="95"/>
  <c r="L69" i="95"/>
  <c r="Z54" i="95"/>
  <c r="AC54" i="95"/>
  <c r="L11" i="84"/>
  <c r="M11" i="84"/>
  <c r="N11" i="84"/>
  <c r="H11" i="84"/>
  <c r="J11" i="84"/>
  <c r="I11" i="84"/>
  <c r="K11" i="84"/>
  <c r="AC63" i="95"/>
  <c r="AC50" i="95"/>
  <c r="K130" i="95"/>
  <c r="L130" i="95"/>
  <c r="F28" i="95"/>
  <c r="H28" i="95"/>
  <c r="Q45" i="95"/>
  <c r="S45" i="95"/>
  <c r="M130" i="95"/>
  <c r="N130" i="95"/>
  <c r="Z58" i="95"/>
  <c r="AC58" i="95"/>
  <c r="AC53" i="95"/>
  <c r="Z53" i="95"/>
  <c r="C18" i="95"/>
  <c r="C7" i="95"/>
  <c r="C8" i="95"/>
  <c r="C9" i="95"/>
  <c r="C25" i="95"/>
  <c r="C29" i="95"/>
  <c r="C12" i="95"/>
  <c r="C27" i="95"/>
  <c r="C26" i="95"/>
  <c r="C21" i="95"/>
  <c r="C24" i="95"/>
  <c r="C13" i="95"/>
  <c r="M132" i="95"/>
  <c r="N132" i="95"/>
  <c r="K132" i="95"/>
  <c r="L132" i="95"/>
  <c r="F30" i="95"/>
  <c r="H30" i="95"/>
  <c r="G26" i="84"/>
  <c r="G20" i="84"/>
  <c r="G15" i="84"/>
  <c r="G21" i="84"/>
  <c r="G28" i="84"/>
  <c r="G13" i="84"/>
  <c r="G16" i="84"/>
  <c r="G12" i="84"/>
  <c r="G17" i="84"/>
  <c r="G18" i="84"/>
  <c r="G25" i="84"/>
  <c r="G14" i="84"/>
  <c r="AC61" i="95"/>
  <c r="Z61" i="95"/>
  <c r="D7" i="95"/>
  <c r="D8" i="95"/>
  <c r="D24" i="95"/>
  <c r="D29" i="95"/>
  <c r="D12" i="95"/>
  <c r="D28" i="95"/>
  <c r="D27" i="95"/>
  <c r="D9" i="95"/>
  <c r="D13" i="95"/>
  <c r="D18" i="95"/>
  <c r="D21" i="95"/>
  <c r="D25" i="95"/>
  <c r="F105" i="95"/>
  <c r="H105" i="95"/>
  <c r="G23" i="84"/>
  <c r="Z51" i="95"/>
  <c r="AC51" i="95"/>
  <c r="E25" i="95"/>
  <c r="E18" i="95"/>
  <c r="E9" i="95"/>
  <c r="E29" i="95"/>
  <c r="E13" i="95"/>
  <c r="E24" i="95"/>
  <c r="E12" i="95"/>
  <c r="E7" i="95"/>
  <c r="E26" i="95"/>
  <c r="E27" i="95"/>
  <c r="E21" i="95"/>
  <c r="E8" i="95"/>
  <c r="H94" i="95"/>
  <c r="H95" i="95"/>
  <c r="D30" i="95"/>
  <c r="Z71" i="95"/>
  <c r="AA71" i="95"/>
  <c r="L19" i="84"/>
  <c r="Z50" i="95"/>
  <c r="I19" i="84"/>
  <c r="E30" i="95"/>
  <c r="L30" i="95"/>
  <c r="D26" i="95"/>
  <c r="M19" i="84"/>
  <c r="O19" i="84"/>
  <c r="N19" i="84"/>
  <c r="K19" i="84"/>
  <c r="C30" i="95"/>
  <c r="J19" i="84"/>
  <c r="I21" i="95"/>
  <c r="O21" i="95"/>
  <c r="O27" i="84"/>
  <c r="L8" i="95"/>
  <c r="K27" i="95"/>
  <c r="I17" i="84"/>
  <c r="J17" i="84"/>
  <c r="L17" i="84"/>
  <c r="N17" i="84"/>
  <c r="H17" i="84"/>
  <c r="K17" i="84"/>
  <c r="M17" i="84"/>
  <c r="J7" i="95"/>
  <c r="O9" i="95"/>
  <c r="I9" i="95"/>
  <c r="J26" i="95"/>
  <c r="L24" i="95"/>
  <c r="K12" i="95"/>
  <c r="H16" i="84"/>
  <c r="I16" i="84"/>
  <c r="K16" i="84"/>
  <c r="M16" i="84"/>
  <c r="J16" i="84"/>
  <c r="L16" i="84"/>
  <c r="N16" i="84"/>
  <c r="B30" i="95"/>
  <c r="L21" i="95"/>
  <c r="K29" i="95"/>
  <c r="M13" i="84"/>
  <c r="N13" i="84"/>
  <c r="I13" i="84"/>
  <c r="K13" i="84"/>
  <c r="O13" i="84"/>
  <c r="H13" i="84"/>
  <c r="J13" i="84"/>
  <c r="L13" i="84"/>
  <c r="J27" i="95"/>
  <c r="O11" i="84"/>
  <c r="F19" i="95"/>
  <c r="F6" i="95"/>
  <c r="H18" i="95"/>
  <c r="B18" i="95"/>
  <c r="K28" i="84"/>
  <c r="M28" i="84"/>
  <c r="N28" i="84"/>
  <c r="I28" i="84"/>
  <c r="H28" i="84"/>
  <c r="J28" i="84"/>
  <c r="L28" i="84"/>
  <c r="J24" i="95"/>
  <c r="C28" i="95"/>
  <c r="H24" i="84"/>
  <c r="J24" i="84"/>
  <c r="K24" i="84"/>
  <c r="O24" i="84"/>
  <c r="M24" i="84"/>
  <c r="N24" i="84"/>
  <c r="I24" i="84"/>
  <c r="L24" i="84"/>
  <c r="B29" i="95"/>
  <c r="I26" i="95"/>
  <c r="J8" i="95"/>
  <c r="J13" i="95"/>
  <c r="H23" i="84"/>
  <c r="J23" i="84"/>
  <c r="K23" i="84"/>
  <c r="M23" i="84"/>
  <c r="N23" i="84"/>
  <c r="I23" i="84"/>
  <c r="L23" i="84"/>
  <c r="L27" i="95"/>
  <c r="K30" i="95"/>
  <c r="H21" i="84"/>
  <c r="I21" i="84"/>
  <c r="K21" i="84"/>
  <c r="L21" i="84"/>
  <c r="N21" i="84"/>
  <c r="J21" i="84"/>
  <c r="M21" i="84"/>
  <c r="J21" i="95"/>
  <c r="J12" i="95"/>
  <c r="I13" i="95"/>
  <c r="O13" i="95"/>
  <c r="K28" i="95"/>
  <c r="J18" i="95"/>
  <c r="L13" i="95"/>
  <c r="K21" i="95"/>
  <c r="L29" i="95"/>
  <c r="K18" i="95"/>
  <c r="K24" i="95"/>
  <c r="N15" i="84"/>
  <c r="H15" i="84"/>
  <c r="J15" i="84"/>
  <c r="L15" i="84"/>
  <c r="K15" i="84"/>
  <c r="M15" i="84"/>
  <c r="I15" i="84"/>
  <c r="J29" i="95"/>
  <c r="H25" i="95"/>
  <c r="Q42" i="95"/>
  <c r="I71" i="95"/>
  <c r="I27" i="95"/>
  <c r="O27" i="95"/>
  <c r="K13" i="95"/>
  <c r="AC79" i="95"/>
  <c r="I72" i="95"/>
  <c r="M69" i="95"/>
  <c r="I8" i="95"/>
  <c r="O8" i="95"/>
  <c r="B28" i="95"/>
  <c r="L12" i="95"/>
  <c r="I26" i="84"/>
  <c r="K26" i="84"/>
  <c r="L26" i="84"/>
  <c r="N26" i="84"/>
  <c r="H26" i="84"/>
  <c r="J26" i="84"/>
  <c r="M26" i="84"/>
  <c r="AN4" i="86"/>
  <c r="AC4" i="86"/>
  <c r="O25" i="95"/>
  <c r="L12" i="84"/>
  <c r="M12" i="84"/>
  <c r="N12" i="84"/>
  <c r="H12" i="84"/>
  <c r="J12" i="84"/>
  <c r="K12" i="84"/>
  <c r="I12" i="84"/>
  <c r="H20" i="84"/>
  <c r="J20" i="84"/>
  <c r="K20" i="84"/>
  <c r="M20" i="84"/>
  <c r="I20" i="84"/>
  <c r="L20" i="84"/>
  <c r="N20" i="84"/>
  <c r="L26" i="95"/>
  <c r="L9" i="95"/>
  <c r="J30" i="95"/>
  <c r="L7" i="95"/>
  <c r="K8" i="95"/>
  <c r="M14" i="84"/>
  <c r="N14" i="84"/>
  <c r="I14" i="84"/>
  <c r="K14" i="84"/>
  <c r="H14" i="84"/>
  <c r="J14" i="84"/>
  <c r="L14" i="84"/>
  <c r="O7" i="95"/>
  <c r="I7" i="95"/>
  <c r="I18" i="84"/>
  <c r="J18" i="84"/>
  <c r="L18" i="84"/>
  <c r="N18" i="84"/>
  <c r="H18" i="84"/>
  <c r="K18" i="84"/>
  <c r="M18" i="84"/>
  <c r="E28" i="95"/>
  <c r="L18" i="95"/>
  <c r="K9" i="95"/>
  <c r="K7" i="95"/>
  <c r="I25" i="84"/>
  <c r="K25" i="84"/>
  <c r="L25" i="84"/>
  <c r="N25" i="84"/>
  <c r="H25" i="84"/>
  <c r="J25" i="84"/>
  <c r="M25" i="84"/>
  <c r="J9" i="95"/>
  <c r="F10" i="95"/>
  <c r="H9" i="95"/>
  <c r="O22" i="84"/>
  <c r="I24" i="95"/>
  <c r="O24" i="95"/>
  <c r="I12" i="95"/>
  <c r="O12" i="95"/>
  <c r="O14" i="84"/>
  <c r="K26" i="95"/>
  <c r="O15" i="84"/>
  <c r="O16" i="84"/>
  <c r="O25" i="84"/>
  <c r="O26" i="95"/>
  <c r="M24" i="95"/>
  <c r="O12" i="84"/>
  <c r="M13" i="95"/>
  <c r="O23" i="84"/>
  <c r="O28" i="84"/>
  <c r="F4" i="95"/>
  <c r="F5" i="95"/>
  <c r="H6" i="95"/>
  <c r="E6" i="95"/>
  <c r="C6" i="95"/>
  <c r="D6" i="95"/>
  <c r="B6" i="95"/>
  <c r="O20" i="84"/>
  <c r="I28" i="95"/>
  <c r="O28" i="95"/>
  <c r="M26" i="95"/>
  <c r="Q46" i="95"/>
  <c r="S46" i="95"/>
  <c r="S42" i="95"/>
  <c r="O18" i="84"/>
  <c r="J28" i="95"/>
  <c r="O17" i="84"/>
  <c r="O29" i="95"/>
  <c r="I29" i="95"/>
  <c r="M29" i="95"/>
  <c r="M27" i="95"/>
  <c r="O26" i="84"/>
  <c r="M8" i="95"/>
  <c r="F20" i="95"/>
  <c r="H19" i="95"/>
  <c r="D19" i="95"/>
  <c r="B19" i="95"/>
  <c r="C19" i="95"/>
  <c r="E19" i="95"/>
  <c r="H10" i="95"/>
  <c r="F11" i="95"/>
  <c r="E10" i="95"/>
  <c r="D10" i="95"/>
  <c r="C10" i="95"/>
  <c r="B10" i="95"/>
  <c r="AO4" i="86"/>
  <c r="AD4" i="86"/>
  <c r="M12" i="95"/>
  <c r="M7" i="95"/>
  <c r="O21" i="84"/>
  <c r="I18" i="95"/>
  <c r="M18" i="95"/>
  <c r="O18" i="95"/>
  <c r="I30" i="95"/>
  <c r="M30" i="95"/>
  <c r="O30" i="95"/>
  <c r="L28" i="95"/>
  <c r="M9" i="95"/>
  <c r="M21" i="95"/>
  <c r="K19" i="95"/>
  <c r="AP4" i="86"/>
  <c r="AE4" i="86"/>
  <c r="O6" i="95"/>
  <c r="I6" i="95"/>
  <c r="O10" i="95"/>
  <c r="I10" i="95"/>
  <c r="J6" i="95"/>
  <c r="J10" i="95"/>
  <c r="L6" i="95"/>
  <c r="K10" i="95"/>
  <c r="L10" i="95"/>
  <c r="H5" i="95"/>
  <c r="E5" i="95"/>
  <c r="B5" i="95"/>
  <c r="D5" i="95"/>
  <c r="C5" i="95"/>
  <c r="F17" i="95"/>
  <c r="F22" i="95"/>
  <c r="H20" i="95"/>
  <c r="C20" i="95"/>
  <c r="D20" i="95"/>
  <c r="B20" i="95"/>
  <c r="E20" i="95"/>
  <c r="H4" i="95"/>
  <c r="D4" i="95"/>
  <c r="B4" i="95"/>
  <c r="E4" i="95"/>
  <c r="C4" i="95"/>
  <c r="H11" i="95"/>
  <c r="E11" i="95"/>
  <c r="C11" i="95"/>
  <c r="D11" i="95"/>
  <c r="B11" i="95"/>
  <c r="M28" i="95"/>
  <c r="M25" i="95"/>
  <c r="K6" i="95"/>
  <c r="L19" i="95"/>
  <c r="U18" i="78"/>
  <c r="U19" i="78" s="1"/>
  <c r="J19" i="95"/>
  <c r="O19" i="95"/>
  <c r="I19" i="95"/>
  <c r="J20" i="95"/>
  <c r="O20" i="95"/>
  <c r="I20" i="95"/>
  <c r="M6" i="95"/>
  <c r="J4" i="95"/>
  <c r="H22" i="95"/>
  <c r="C22" i="95"/>
  <c r="D22" i="95"/>
  <c r="E22" i="95"/>
  <c r="B22" i="95"/>
  <c r="M10" i="95"/>
  <c r="K20" i="95"/>
  <c r="L4" i="95"/>
  <c r="F15" i="95"/>
  <c r="F16" i="95"/>
  <c r="F14" i="95"/>
  <c r="H17" i="95"/>
  <c r="B17" i="95"/>
  <c r="E17" i="95"/>
  <c r="C17" i="95"/>
  <c r="D17" i="95"/>
  <c r="I4" i="95"/>
  <c r="O4" i="95"/>
  <c r="O11" i="95"/>
  <c r="I11" i="95"/>
  <c r="K4" i="95"/>
  <c r="AQ4" i="86"/>
  <c r="AF4" i="86"/>
  <c r="K11" i="95"/>
  <c r="J5" i="95"/>
  <c r="J11" i="95"/>
  <c r="K5" i="95"/>
  <c r="M19" i="95"/>
  <c r="L11" i="95"/>
  <c r="I5" i="95"/>
  <c r="O5" i="95"/>
  <c r="L20" i="95"/>
  <c r="L5" i="95"/>
  <c r="M11" i="95"/>
  <c r="M4" i="95"/>
  <c r="J17" i="95"/>
  <c r="K17" i="95"/>
  <c r="L17" i="95"/>
  <c r="I22" i="95"/>
  <c r="O22" i="95"/>
  <c r="M5" i="95"/>
  <c r="I17" i="95"/>
  <c r="O17" i="95"/>
  <c r="L22" i="95"/>
  <c r="K22" i="95"/>
  <c r="M20" i="95"/>
  <c r="H15" i="95"/>
  <c r="D15" i="95"/>
  <c r="E15" i="95"/>
  <c r="B15" i="95"/>
  <c r="C15" i="95"/>
  <c r="H14" i="95"/>
  <c r="D14" i="95"/>
  <c r="E14" i="95"/>
  <c r="B14" i="95"/>
  <c r="C14" i="95"/>
  <c r="J22" i="95"/>
  <c r="AG4" i="86"/>
  <c r="AR4" i="86"/>
  <c r="H16" i="95"/>
  <c r="C16" i="95"/>
  <c r="B16" i="95"/>
  <c r="D16" i="95"/>
  <c r="E16" i="95"/>
  <c r="K16" i="95"/>
  <c r="L15" i="95"/>
  <c r="M22" i="95"/>
  <c r="L16" i="95"/>
  <c r="J14" i="95"/>
  <c r="C31" i="95"/>
  <c r="J15" i="95"/>
  <c r="I15" i="95"/>
  <c r="O15" i="95"/>
  <c r="I14" i="95"/>
  <c r="O14" i="95"/>
  <c r="B31" i="95"/>
  <c r="L14" i="95"/>
  <c r="E31" i="95"/>
  <c r="AS4" i="86"/>
  <c r="AH4" i="86"/>
  <c r="AT4" i="86"/>
  <c r="K14" i="95"/>
  <c r="D31" i="95"/>
  <c r="K15" i="95"/>
  <c r="J16" i="95"/>
  <c r="H23" i="95"/>
  <c r="M17" i="95"/>
  <c r="I16" i="95"/>
  <c r="O16" i="95"/>
  <c r="M15" i="95"/>
  <c r="M14" i="95"/>
  <c r="H31" i="95"/>
  <c r="Q38" i="95"/>
  <c r="M16" i="95"/>
  <c r="M23" i="95"/>
  <c r="M31" i="95"/>
  <c r="S38" i="95"/>
  <c r="Q47" i="95"/>
  <c r="Q40" i="95"/>
  <c r="S40" i="95"/>
  <c r="Y13" i="78" l="1"/>
  <c r="X13" i="78"/>
  <c r="AE13" i="78"/>
  <c r="AD13" i="78"/>
  <c r="AB13" i="78"/>
  <c r="AC13" i="78"/>
  <c r="Z13" i="78"/>
  <c r="AA13" i="78"/>
  <c r="AE12" i="78"/>
  <c r="AD12" i="78"/>
  <c r="AC12" i="78"/>
  <c r="AA12" i="78"/>
  <c r="AB12" i="78"/>
  <c r="Z12" i="78"/>
  <c r="X12" i="78"/>
  <c r="Y12" i="78"/>
  <c r="C9" i="113"/>
  <c r="A9" i="78"/>
  <c r="C17" i="110"/>
  <c r="A17" i="78"/>
  <c r="C11" i="111"/>
  <c r="G11" i="111" s="1"/>
  <c r="A11" i="78"/>
  <c r="C22" i="106"/>
  <c r="F22" i="106" s="1"/>
  <c r="AA22" i="106" s="1"/>
  <c r="A22" i="78"/>
  <c r="V16" i="78"/>
  <c r="A16" i="78"/>
  <c r="Z21" i="78"/>
  <c r="X21" i="78"/>
  <c r="Y21" i="78"/>
  <c r="AE21" i="78"/>
  <c r="AD21" i="78"/>
  <c r="AC21" i="78"/>
  <c r="AB21" i="78"/>
  <c r="AA21" i="78"/>
  <c r="Z15" i="78"/>
  <c r="Y15" i="78"/>
  <c r="X15" i="78"/>
  <c r="AE15" i="78"/>
  <c r="AC15" i="78"/>
  <c r="AD15" i="78"/>
  <c r="AB15" i="78"/>
  <c r="AA15" i="78"/>
  <c r="AT20" i="78"/>
  <c r="F97" i="98" s="1"/>
  <c r="A20" i="78"/>
  <c r="Z14" i="78"/>
  <c r="Y14" i="78"/>
  <c r="X14" i="78"/>
  <c r="B13" i="80"/>
  <c r="B42" i="112"/>
  <c r="B50" i="111"/>
  <c r="Q42" i="85"/>
  <c r="S8" i="86"/>
  <c r="S16" i="86"/>
  <c r="Q39" i="85"/>
  <c r="BB110" i="85"/>
  <c r="BN110" i="85" s="1"/>
  <c r="BM110" i="85"/>
  <c r="BB108" i="85"/>
  <c r="BN108" i="85" s="1"/>
  <c r="BM108" i="85"/>
  <c r="BB107" i="85"/>
  <c r="BN107" i="85" s="1"/>
  <c r="BM107" i="85"/>
  <c r="X9" i="79"/>
  <c r="AN111" i="85" a="1"/>
  <c r="AN111" i="85" s="1"/>
  <c r="AB111" i="85" s="1"/>
  <c r="AG111" i="85" a="1"/>
  <c r="AG111" i="85" s="1"/>
  <c r="U111" i="85" s="1"/>
  <c r="AK105" i="85" a="1"/>
  <c r="AK105" i="85" s="1"/>
  <c r="Y105" i="85" s="1"/>
  <c r="O60" i="98"/>
  <c r="O65" i="98"/>
  <c r="M63" i="98"/>
  <c r="N63" i="98" s="1"/>
  <c r="M68" i="98"/>
  <c r="N68" i="98" s="1"/>
  <c r="O70" i="98"/>
  <c r="O64" i="98"/>
  <c r="O69" i="98"/>
  <c r="M61" i="98"/>
  <c r="N61" i="98" s="1"/>
  <c r="O68" i="98"/>
  <c r="M58" i="98"/>
  <c r="M65" i="98"/>
  <c r="N65" i="98" s="1"/>
  <c r="I17" i="81" s="1"/>
  <c r="O59" i="98"/>
  <c r="M71" i="98"/>
  <c r="N71" i="98" s="1"/>
  <c r="O63" i="98"/>
  <c r="M64" i="98"/>
  <c r="N64" i="98" s="1"/>
  <c r="O71" i="98"/>
  <c r="O67" i="98"/>
  <c r="M60" i="98"/>
  <c r="N60" i="98" s="1"/>
  <c r="M69" i="98"/>
  <c r="N69" i="98" s="1"/>
  <c r="O58" i="98"/>
  <c r="M70" i="98"/>
  <c r="N70" i="98" s="1"/>
  <c r="O66" i="98"/>
  <c r="M59" i="98"/>
  <c r="N59" i="98" s="1"/>
  <c r="I11" i="81" s="1"/>
  <c r="O62" i="98"/>
  <c r="M62" i="98"/>
  <c r="N62" i="98" s="1"/>
  <c r="M67" i="98"/>
  <c r="N67" i="98" s="1"/>
  <c r="O61" i="98"/>
  <c r="M66" i="98"/>
  <c r="N66" i="98" s="1"/>
  <c r="I19" i="81"/>
  <c r="I14" i="81"/>
  <c r="B20" i="106"/>
  <c r="B42" i="113"/>
  <c r="G44" i="113" s="1"/>
  <c r="C42" i="112"/>
  <c r="AJ60" i="116"/>
  <c r="AJ63" i="116" s="1"/>
  <c r="AJ66" i="116"/>
  <c r="D63" i="116"/>
  <c r="D66" i="116" s="1"/>
  <c r="E71" i="116"/>
  <c r="E72" i="116"/>
  <c r="E70" i="116"/>
  <c r="H79" i="116" a="1"/>
  <c r="H79" i="116" s="1"/>
  <c r="L36" i="80" s="1"/>
  <c r="AK58" i="116"/>
  <c r="F60" i="116"/>
  <c r="F63" i="116" s="1"/>
  <c r="F66" i="116" s="1"/>
  <c r="AJ64" i="116"/>
  <c r="AJ65" i="116"/>
  <c r="F79" i="116" a="1"/>
  <c r="F79" i="116" s="1"/>
  <c r="J36" i="80" s="1"/>
  <c r="B17" i="93"/>
  <c r="W17" i="93"/>
  <c r="AI17" i="93"/>
  <c r="N17" i="93"/>
  <c r="C17" i="93"/>
  <c r="L15" i="79" s="1"/>
  <c r="G17" i="93"/>
  <c r="T17" i="93"/>
  <c r="G12" i="80" s="1"/>
  <c r="G24" i="80" s="1"/>
  <c r="M17" i="93"/>
  <c r="L17" i="93"/>
  <c r="AB17" i="93"/>
  <c r="D17" i="93"/>
  <c r="X17" i="93"/>
  <c r="AA17" i="93"/>
  <c r="J17" i="93"/>
  <c r="K17" i="93"/>
  <c r="Z17" i="93"/>
  <c r="O17" i="93"/>
  <c r="AC17" i="93"/>
  <c r="P17" i="93"/>
  <c r="F17" i="93"/>
  <c r="Y17" i="93"/>
  <c r="E17" i="93"/>
  <c r="I17" i="93"/>
  <c r="AJ17" i="93"/>
  <c r="AK17" i="93"/>
  <c r="L16" i="79" s="1"/>
  <c r="AD17" i="93"/>
  <c r="Q17" i="93"/>
  <c r="G13" i="80" s="1"/>
  <c r="H17" i="93"/>
  <c r="AF17" i="93"/>
  <c r="AH17" i="93"/>
  <c r="U17" i="93"/>
  <c r="AG17" i="93"/>
  <c r="AE17" i="93"/>
  <c r="O27" i="99"/>
  <c r="N26" i="99"/>
  <c r="S21" i="99"/>
  <c r="T20" i="99"/>
  <c r="L20" i="99"/>
  <c r="M21" i="99"/>
  <c r="N21" i="99"/>
  <c r="Q26" i="99"/>
  <c r="P27" i="99"/>
  <c r="T7" i="83"/>
  <c r="S8" i="83"/>
  <c r="I43" i="106"/>
  <c r="X43" i="106" s="1"/>
  <c r="C37" i="112"/>
  <c r="B53" i="106"/>
  <c r="C42" i="111"/>
  <c r="C43" i="106"/>
  <c r="V2" i="93"/>
  <c r="F90" i="98"/>
  <c r="F99" i="98"/>
  <c r="F100" i="98"/>
  <c r="F95" i="98"/>
  <c r="F83" i="98"/>
  <c r="F84" i="98"/>
  <c r="F96" i="98"/>
  <c r="F103" i="98"/>
  <c r="F82" i="98"/>
  <c r="F102" i="98"/>
  <c r="B10" i="111"/>
  <c r="B10" i="110"/>
  <c r="G88" i="98"/>
  <c r="H88" i="98" s="1"/>
  <c r="B10" i="106"/>
  <c r="H7" i="81"/>
  <c r="B48" i="106"/>
  <c r="B46" i="111"/>
  <c r="K12" i="82"/>
  <c r="F45" i="116"/>
  <c r="J32" i="80" s="1"/>
  <c r="C41" i="111"/>
  <c r="C42" i="106"/>
  <c r="B34" i="112"/>
  <c r="U2" i="93"/>
  <c r="B33" i="111"/>
  <c r="B33" i="112"/>
  <c r="B59" i="106"/>
  <c r="B25" i="110"/>
  <c r="B33" i="106"/>
  <c r="D10" i="79"/>
  <c r="F10" i="79" s="1"/>
  <c r="B45" i="111"/>
  <c r="B45" i="112"/>
  <c r="V9" i="78"/>
  <c r="C16" i="106"/>
  <c r="AT16" i="78"/>
  <c r="F93" i="98" s="1"/>
  <c r="L8" i="82"/>
  <c r="L23" i="82"/>
  <c r="L24" i="82"/>
  <c r="K25" i="82"/>
  <c r="L19" i="82"/>
  <c r="K16" i="82"/>
  <c r="B44" i="111"/>
  <c r="M13" i="81"/>
  <c r="B96" i="85"/>
  <c r="C61" i="127"/>
  <c r="AT12" i="78"/>
  <c r="F85" i="98" s="1"/>
  <c r="I29" i="106"/>
  <c r="X29" i="106" s="1"/>
  <c r="L11" i="82"/>
  <c r="I12" i="81"/>
  <c r="M12" i="81"/>
  <c r="M19" i="81"/>
  <c r="U9" i="78"/>
  <c r="AF29" i="78"/>
  <c r="W9" i="78"/>
  <c r="C9" i="110"/>
  <c r="F9" i="110" s="1"/>
  <c r="AT9" i="78"/>
  <c r="F86" i="98" s="1"/>
  <c r="M86" i="98" s="1"/>
  <c r="C15" i="113"/>
  <c r="C9" i="106"/>
  <c r="F9" i="106" s="1"/>
  <c r="AA9" i="106" s="1"/>
  <c r="AF25" i="78"/>
  <c r="I28" i="106"/>
  <c r="X28" i="106" s="1"/>
  <c r="C9" i="111"/>
  <c r="G9" i="111" s="1"/>
  <c r="C9" i="112"/>
  <c r="W26" i="106"/>
  <c r="C29" i="106"/>
  <c r="B83" i="85"/>
  <c r="AA83" i="85" s="1"/>
  <c r="B9" i="110"/>
  <c r="G86" i="98"/>
  <c r="H86" i="98" s="1"/>
  <c r="I23" i="106"/>
  <c r="X23" i="106" s="1"/>
  <c r="C15" i="106"/>
  <c r="F15" i="106" s="1"/>
  <c r="B19" i="111"/>
  <c r="AF24" i="78"/>
  <c r="B23" i="106"/>
  <c r="C20" i="110"/>
  <c r="F20" i="110" s="1"/>
  <c r="B30" i="111"/>
  <c r="B128" i="85"/>
  <c r="V12" i="78"/>
  <c r="C12" i="111"/>
  <c r="G12" i="111" s="1"/>
  <c r="AU12" i="78"/>
  <c r="O7" i="88" s="1"/>
  <c r="P7" i="88" s="1"/>
  <c r="C12" i="112"/>
  <c r="U12" i="78"/>
  <c r="AU16" i="78"/>
  <c r="O11" i="88" s="1"/>
  <c r="P11" i="88" s="1"/>
  <c r="AV16" i="78" s="1"/>
  <c r="R70" i="85" s="1"/>
  <c r="W16" i="78"/>
  <c r="C12" i="110"/>
  <c r="B34" i="106"/>
  <c r="B9" i="106"/>
  <c r="C41" i="112"/>
  <c r="B49" i="111"/>
  <c r="C16" i="112"/>
  <c r="D9" i="78"/>
  <c r="V21" i="78"/>
  <c r="C30" i="113"/>
  <c r="H9" i="79"/>
  <c r="AM9" i="79" s="1"/>
  <c r="AM10" i="79" s="1"/>
  <c r="AM11" i="79" s="1"/>
  <c r="B34" i="111"/>
  <c r="C12" i="106"/>
  <c r="F12" i="106" s="1"/>
  <c r="AF12" i="106" s="1"/>
  <c r="C38" i="106"/>
  <c r="D20" i="78"/>
  <c r="W22" i="78"/>
  <c r="B27" i="111"/>
  <c r="C22" i="111"/>
  <c r="G22" i="111" s="1"/>
  <c r="U22" i="78"/>
  <c r="AT22" i="78"/>
  <c r="F101" i="98" s="1"/>
  <c r="H16" i="78"/>
  <c r="C2" i="93"/>
  <c r="B52" i="106"/>
  <c r="C16" i="110"/>
  <c r="M16" i="110" s="1"/>
  <c r="J16" i="106" s="1"/>
  <c r="B27" i="112"/>
  <c r="B27" i="106"/>
  <c r="AT11" i="78"/>
  <c r="F92" i="98" s="1"/>
  <c r="M92" i="98" s="1"/>
  <c r="C11" i="106"/>
  <c r="F11" i="106" s="1"/>
  <c r="B82" i="85"/>
  <c r="R82" i="85" s="1"/>
  <c r="C11" i="112"/>
  <c r="AU15" i="78"/>
  <c r="O10" i="88" s="1"/>
  <c r="P10" i="88" s="1"/>
  <c r="AV15" i="78" s="1"/>
  <c r="C15" i="110"/>
  <c r="F15" i="110" s="1"/>
  <c r="AT15" i="78"/>
  <c r="F91" i="98" s="1"/>
  <c r="H11" i="78"/>
  <c r="B19" i="110"/>
  <c r="B19" i="106"/>
  <c r="C17" i="112"/>
  <c r="C15" i="111"/>
  <c r="G15" i="111" s="1"/>
  <c r="C15" i="112"/>
  <c r="C11" i="110"/>
  <c r="F11" i="110" s="1"/>
  <c r="AC175" i="85"/>
  <c r="B38" i="111"/>
  <c r="C27" i="113"/>
  <c r="B118" i="85"/>
  <c r="B38" i="112"/>
  <c r="B39" i="106"/>
  <c r="C26" i="106"/>
  <c r="B19" i="112"/>
  <c r="B39" i="113"/>
  <c r="G41" i="113" s="1"/>
  <c r="C14" i="110"/>
  <c r="F14" i="110" s="1"/>
  <c r="D22" i="106"/>
  <c r="D22" i="110"/>
  <c r="D22" i="112"/>
  <c r="D22" i="111"/>
  <c r="E17" i="81"/>
  <c r="M14" i="81"/>
  <c r="B32" i="106"/>
  <c r="B22" i="106"/>
  <c r="B32" i="111"/>
  <c r="I23" i="81"/>
  <c r="E20" i="81"/>
  <c r="D9" i="79"/>
  <c r="E23" i="81"/>
  <c r="I7" i="81"/>
  <c r="E14" i="81"/>
  <c r="I20" i="81"/>
  <c r="M11" i="81"/>
  <c r="AU14" i="78"/>
  <c r="O9" i="88" s="1"/>
  <c r="P9" i="88" s="1"/>
  <c r="AV14" i="78" s="1"/>
  <c r="L14" i="111" s="1"/>
  <c r="C14" i="106"/>
  <c r="F14" i="106" s="1"/>
  <c r="AF14" i="106" s="1"/>
  <c r="AT14" i="78"/>
  <c r="F89" i="98" s="1"/>
  <c r="M89" i="98" s="1"/>
  <c r="B53" i="112"/>
  <c r="W21" i="78"/>
  <c r="C21" i="110"/>
  <c r="F21" i="110" s="1"/>
  <c r="A54" i="113"/>
  <c r="U15" i="78"/>
  <c r="AU17" i="78"/>
  <c r="O12" i="88" s="1"/>
  <c r="P12" i="88" s="1"/>
  <c r="AV17" i="78" s="1"/>
  <c r="AT21" i="78"/>
  <c r="F98" i="98" s="1"/>
  <c r="M98" i="98" s="1"/>
  <c r="C21" i="106"/>
  <c r="F21" i="106" s="1"/>
  <c r="AF21" i="106" s="1"/>
  <c r="A31" i="106"/>
  <c r="A31" i="111"/>
  <c r="A31" i="112"/>
  <c r="AU21" i="78"/>
  <c r="O16" i="88" s="1"/>
  <c r="P16" i="88" s="1"/>
  <c r="AV21" i="78" s="1"/>
  <c r="A23" i="110"/>
  <c r="B19" i="125"/>
  <c r="AU20" i="78"/>
  <c r="O15" i="88" s="1"/>
  <c r="P15" i="88" s="1"/>
  <c r="AV20" i="78" s="1"/>
  <c r="AC177" i="85"/>
  <c r="B13" i="112"/>
  <c r="B30" i="106"/>
  <c r="B20" i="112"/>
  <c r="C16" i="111"/>
  <c r="G16" i="111" s="1"/>
  <c r="B15" i="125"/>
  <c r="C18" i="113"/>
  <c r="B11" i="125"/>
  <c r="AU9" i="78"/>
  <c r="O4" i="88" s="1"/>
  <c r="P4" i="88" s="1"/>
  <c r="AV9" i="78" s="1"/>
  <c r="B93" i="85"/>
  <c r="R93" i="85" s="1"/>
  <c r="C20" i="111"/>
  <c r="G20" i="111" s="1"/>
  <c r="C27" i="111"/>
  <c r="B12" i="111"/>
  <c r="AT10" i="78"/>
  <c r="F88" i="98" s="1"/>
  <c r="B9" i="125"/>
  <c r="AU22" i="78"/>
  <c r="O17" i="88" s="1"/>
  <c r="P17" i="88" s="1"/>
  <c r="AV22" i="78" s="1"/>
  <c r="L22" i="111" s="1"/>
  <c r="V20" i="78"/>
  <c r="E22" i="81"/>
  <c r="C30" i="106"/>
  <c r="C20" i="112"/>
  <c r="C27" i="112"/>
  <c r="C23" i="111"/>
  <c r="B18" i="125"/>
  <c r="B12" i="113"/>
  <c r="G14" i="113" s="1"/>
  <c r="I13" i="81"/>
  <c r="B37" i="106"/>
  <c r="C42" i="113"/>
  <c r="C30" i="111"/>
  <c r="C29" i="111"/>
  <c r="L27" i="113"/>
  <c r="B23" i="112"/>
  <c r="B14" i="125"/>
  <c r="B10" i="125"/>
  <c r="U21" i="78"/>
  <c r="M16" i="81"/>
  <c r="B87" i="85"/>
  <c r="R87" i="85" s="1"/>
  <c r="B24" i="111"/>
  <c r="C30" i="112"/>
  <c r="B29" i="106"/>
  <c r="K27" i="113"/>
  <c r="B15" i="111"/>
  <c r="B15" i="113"/>
  <c r="G17" i="113" s="1"/>
  <c r="B8" i="125"/>
  <c r="I22" i="81"/>
  <c r="I16" i="81"/>
  <c r="B122" i="85"/>
  <c r="B24" i="112"/>
  <c r="C22" i="110"/>
  <c r="F22" i="110" s="1"/>
  <c r="B21" i="125"/>
  <c r="B9" i="113"/>
  <c r="G11" i="113" s="1"/>
  <c r="U16" i="78"/>
  <c r="D13" i="78"/>
  <c r="AC176" i="85"/>
  <c r="L26" i="113"/>
  <c r="B22" i="111"/>
  <c r="C36" i="113"/>
  <c r="B17" i="125"/>
  <c r="C14" i="111"/>
  <c r="G14" i="111" s="1"/>
  <c r="B13" i="125"/>
  <c r="K25" i="113"/>
  <c r="E19" i="81"/>
  <c r="C20" i="106"/>
  <c r="F20" i="106" s="1"/>
  <c r="AF20" i="106" s="1"/>
  <c r="B50" i="106"/>
  <c r="C27" i="106"/>
  <c r="C28" i="106"/>
  <c r="K26" i="113"/>
  <c r="B36" i="113"/>
  <c r="G38" i="113" s="1"/>
  <c r="B14" i="106"/>
  <c r="AU11" i="78"/>
  <c r="O6" i="88" s="1"/>
  <c r="P6" i="88" s="1"/>
  <c r="AV11" i="78" s="1"/>
  <c r="W11" i="78"/>
  <c r="D10" i="106"/>
  <c r="B17" i="110"/>
  <c r="D10" i="110"/>
  <c r="B28" i="106"/>
  <c r="C45" i="113"/>
  <c r="B20" i="125"/>
  <c r="AU13" i="78"/>
  <c r="O8" i="88" s="1"/>
  <c r="P8" i="88" s="1"/>
  <c r="AV13" i="78" s="1"/>
  <c r="R67" i="85" s="1"/>
  <c r="L25" i="113"/>
  <c r="H20" i="78"/>
  <c r="B45" i="113"/>
  <c r="G47" i="113" s="1"/>
  <c r="C17" i="111"/>
  <c r="G17" i="111" s="1"/>
  <c r="B16" i="125"/>
  <c r="B12" i="125"/>
  <c r="V15" i="78"/>
  <c r="B43" i="111"/>
  <c r="C70" i="127"/>
  <c r="C44" i="106"/>
  <c r="C49" i="112"/>
  <c r="C65" i="127"/>
  <c r="C45" i="112"/>
  <c r="C59" i="127"/>
  <c r="C53" i="106"/>
  <c r="Q2" i="93"/>
  <c r="C69" i="127"/>
  <c r="C58" i="127"/>
  <c r="C68" i="127"/>
  <c r="C53" i="112"/>
  <c r="C46" i="106"/>
  <c r="E2" i="93"/>
  <c r="C56" i="106"/>
  <c r="B37" i="111"/>
  <c r="C45" i="111"/>
  <c r="C52" i="106"/>
  <c r="B37" i="112"/>
  <c r="G25" i="110"/>
  <c r="AF2" i="93"/>
  <c r="C49" i="111"/>
  <c r="B57" i="106"/>
  <c r="U110" i="85"/>
  <c r="W108" i="85"/>
  <c r="U102" i="85"/>
  <c r="Q37" i="85"/>
  <c r="H14" i="78" s="1"/>
  <c r="AN100" i="85" a="1"/>
  <c r="AN100" i="85" s="1"/>
  <c r="AB100" i="85" s="1"/>
  <c r="AN105" i="85" a="1"/>
  <c r="AN105" i="85" s="1"/>
  <c r="AB105" i="85" s="1"/>
  <c r="AF111" i="85" a="1"/>
  <c r="AF111" i="85" s="1"/>
  <c r="T111" i="85" s="1"/>
  <c r="AM109" i="85" a="1"/>
  <c r="AM109" i="85" s="1"/>
  <c r="AA109" i="85" s="1"/>
  <c r="AF106" i="85" a="1"/>
  <c r="AF106" i="85" s="1"/>
  <c r="T106" i="85" s="1"/>
  <c r="W20" i="78" s="1"/>
  <c r="AJ106" i="85" a="1"/>
  <c r="AJ106" i="85" s="1"/>
  <c r="X106" i="85" s="1"/>
  <c r="AK114" i="85" a="1"/>
  <c r="AK114" i="85" s="1"/>
  <c r="Y114" i="85" s="1"/>
  <c r="AD102" i="85" a="1"/>
  <c r="AD102" i="85" s="1"/>
  <c r="R102" i="85" s="1"/>
  <c r="U14" i="78" s="1"/>
  <c r="AI114" i="85" a="1"/>
  <c r="AI114" i="85" s="1"/>
  <c r="W114" i="85" s="1"/>
  <c r="AH107" i="85" a="1"/>
  <c r="AH107" i="85" s="1"/>
  <c r="V107" i="85" s="1"/>
  <c r="AM107" i="85" a="1"/>
  <c r="AM107" i="85" s="1"/>
  <c r="AA107" i="85" s="1"/>
  <c r="AJ103" i="85" a="1"/>
  <c r="AJ103" i="85" s="1"/>
  <c r="X103" i="85" s="1"/>
  <c r="BH113" i="85"/>
  <c r="I149" i="85"/>
  <c r="J149" i="85"/>
  <c r="L149" i="85"/>
  <c r="O149" i="85"/>
  <c r="G149" i="85"/>
  <c r="W112" i="85"/>
  <c r="AE110" i="85" a="1"/>
  <c r="AE110" i="85" s="1"/>
  <c r="S110" i="85" s="1"/>
  <c r="V22" i="78" s="1"/>
  <c r="AD106" i="85" a="1"/>
  <c r="AD106" i="85" s="1"/>
  <c r="R106" i="85" s="1"/>
  <c r="U20" i="78" s="1"/>
  <c r="AI102" i="85" a="1"/>
  <c r="AI102" i="85" s="1"/>
  <c r="M149" i="85"/>
  <c r="AG114" i="85" a="1"/>
  <c r="AG114" i="85" s="1"/>
  <c r="U114" i="85" s="1"/>
  <c r="AN114" i="85" a="1"/>
  <c r="AN114" i="85" s="1"/>
  <c r="AB114" i="85" s="1"/>
  <c r="AJ114" i="85" a="1"/>
  <c r="AJ114" i="85" s="1"/>
  <c r="X114" i="85" s="1"/>
  <c r="AH114" i="85" a="1"/>
  <c r="AH114" i="85" s="1"/>
  <c r="V114" i="85" s="1"/>
  <c r="BM104" i="85"/>
  <c r="W16" i="85"/>
  <c r="Q16" i="85" s="1"/>
  <c r="Q43" i="85"/>
  <c r="H21" i="78" s="1"/>
  <c r="AG100" i="85" a="1"/>
  <c r="AG100" i="85" s="1"/>
  <c r="U100" i="85" s="1"/>
  <c r="AM101" i="85" a="1"/>
  <c r="AM101" i="85" s="1"/>
  <c r="AA101" i="85" s="1"/>
  <c r="AN103" i="85" a="1"/>
  <c r="AN103" i="85" s="1"/>
  <c r="AB103" i="85" s="1"/>
  <c r="AI105" i="85" a="1"/>
  <c r="AI105" i="85" s="1"/>
  <c r="AO103" i="85" a="1"/>
  <c r="AO103" i="85" s="1"/>
  <c r="AC103" i="85" s="1"/>
  <c r="AH111" i="85" a="1"/>
  <c r="AH111" i="85" s="1"/>
  <c r="V111" i="85" s="1"/>
  <c r="AF102" i="85" a="1"/>
  <c r="AF102" i="85" s="1"/>
  <c r="AO109" i="85" a="1"/>
  <c r="AO109" i="85" s="1"/>
  <c r="AC109" i="85" s="1"/>
  <c r="AD105" i="85" a="1"/>
  <c r="AD105" i="85" s="1"/>
  <c r="R105" i="85" s="1"/>
  <c r="U17" i="78" s="1"/>
  <c r="AE102" i="85" a="1"/>
  <c r="AE102" i="85" s="1"/>
  <c r="S102" i="85" s="1"/>
  <c r="V14" i="78" s="1"/>
  <c r="AL102" i="85" a="1"/>
  <c r="AL102" i="85" s="1"/>
  <c r="Z102" i="85" s="1"/>
  <c r="AJ107" i="85" a="1"/>
  <c r="AJ107" i="85" s="1"/>
  <c r="X107" i="85" s="1"/>
  <c r="AO114" i="85" a="1"/>
  <c r="AO114" i="85" s="1"/>
  <c r="AC114" i="85" s="1"/>
  <c r="AN107" i="85" a="1"/>
  <c r="AN107" i="85" s="1"/>
  <c r="AB107" i="85" s="1"/>
  <c r="BM102" i="85"/>
  <c r="AO100" i="85" a="1"/>
  <c r="AO100" i="85" s="1"/>
  <c r="AC100" i="85" s="1"/>
  <c r="AL101" i="85" a="1"/>
  <c r="AL101" i="85" s="1"/>
  <c r="Z101" i="85" s="1"/>
  <c r="AO110" i="85" a="1"/>
  <c r="AO110" i="85" s="1"/>
  <c r="AC110" i="85" s="1"/>
  <c r="AF103" i="85" a="1"/>
  <c r="AF103" i="85" s="1"/>
  <c r="T103" i="85" s="1"/>
  <c r="W15" i="78" s="1"/>
  <c r="AG106" i="85" a="1"/>
  <c r="AG106" i="85" s="1"/>
  <c r="U106" i="85" s="1"/>
  <c r="AM102" i="85" a="1"/>
  <c r="AM102" i="85" s="1"/>
  <c r="AA102" i="85" s="1"/>
  <c r="AM110" i="85" a="1"/>
  <c r="AM110" i="85" s="1"/>
  <c r="AA110" i="85" s="1"/>
  <c r="AM100" i="85" a="1"/>
  <c r="AM100" i="85" s="1"/>
  <c r="AA100" i="85" s="1"/>
  <c r="AK103" i="85" a="1"/>
  <c r="AK103" i="85" s="1"/>
  <c r="Y103" i="85" s="1"/>
  <c r="AD114" i="85" a="1"/>
  <c r="AD114" i="85" s="1"/>
  <c r="R114" i="85" s="1"/>
  <c r="U11" i="78" s="1"/>
  <c r="AE114" i="85" a="1"/>
  <c r="AE114" i="85" s="1"/>
  <c r="S114" i="85" s="1"/>
  <c r="V11" i="78" s="1"/>
  <c r="AN102" i="85" a="1"/>
  <c r="AN102" i="85" s="1"/>
  <c r="AB102" i="85" s="1"/>
  <c r="AL103" i="85" a="1"/>
  <c r="AL103" i="85" s="1"/>
  <c r="Z103" i="85" s="1"/>
  <c r="AL111" i="85" a="1"/>
  <c r="AL111" i="85" s="1"/>
  <c r="Z111" i="85" s="1"/>
  <c r="AK109" i="85" a="1"/>
  <c r="AK109" i="85" s="1"/>
  <c r="Y109" i="85" s="1"/>
  <c r="AL106" i="85" a="1"/>
  <c r="AL106" i="85" s="1"/>
  <c r="Z106" i="85" s="1"/>
  <c r="AD101" i="85" a="1"/>
  <c r="AD101" i="85" s="1"/>
  <c r="R101" i="85" s="1"/>
  <c r="U13" i="78" s="1"/>
  <c r="AK104" i="85" a="1"/>
  <c r="AK104" i="85" s="1"/>
  <c r="Y104" i="85" s="1"/>
  <c r="AN112" i="85" a="1"/>
  <c r="AN112" i="85" s="1"/>
  <c r="AB112" i="85" s="1"/>
  <c r="AO107" i="85" a="1"/>
  <c r="AO107" i="85" s="1"/>
  <c r="AC107" i="85" s="1"/>
  <c r="AI103" i="85" a="1"/>
  <c r="AI103" i="85" s="1"/>
  <c r="W103" i="85" s="1"/>
  <c r="AF107" i="85" a="1"/>
  <c r="AF107" i="85" s="1"/>
  <c r="T107" i="85" s="1"/>
  <c r="W18" i="78" s="1"/>
  <c r="W19" i="78" s="1"/>
  <c r="BD104" i="85"/>
  <c r="BM114" i="85"/>
  <c r="Q38" i="85"/>
  <c r="H15" i="78" s="1"/>
  <c r="T47" i="86"/>
  <c r="Q34" i="85"/>
  <c r="Q33" i="85"/>
  <c r="O58" i="91"/>
  <c r="P16" i="86"/>
  <c r="Q46" i="85" s="1"/>
  <c r="S6" i="86"/>
  <c r="P6" i="86"/>
  <c r="T45" i="86" s="1"/>
  <c r="Q10" i="79"/>
  <c r="J107" i="85"/>
  <c r="V102" i="85"/>
  <c r="O111" i="85"/>
  <c r="T102" i="85"/>
  <c r="W14" i="78" s="1"/>
  <c r="AE130" i="85" a="1"/>
  <c r="AE130" i="85" s="1"/>
  <c r="AM130" i="85" a="1"/>
  <c r="AM130" i="85" s="1"/>
  <c r="AK130" i="85" a="1"/>
  <c r="AK130" i="85" s="1"/>
  <c r="AI130" i="85" a="1"/>
  <c r="AI130" i="85" s="1"/>
  <c r="AL130" i="85" a="1"/>
  <c r="AL130" i="85" s="1"/>
  <c r="AD130" i="85" a="1"/>
  <c r="AD130" i="85" s="1"/>
  <c r="AG130" i="85" a="1"/>
  <c r="AG130" i="85" s="1"/>
  <c r="AO130" i="85" a="1"/>
  <c r="AO130" i="85" s="1"/>
  <c r="AJ130" i="85" a="1"/>
  <c r="AJ130" i="85" s="1"/>
  <c r="AF130" i="85" a="1"/>
  <c r="AF130" i="85" s="1"/>
  <c r="AH130" i="85" a="1"/>
  <c r="AH130" i="85" s="1"/>
  <c r="AN130" i="85" a="1"/>
  <c r="AN130" i="85" s="1"/>
  <c r="J115" i="85"/>
  <c r="W110" i="85"/>
  <c r="AI117" i="85" a="1"/>
  <c r="AI117" i="85" s="1"/>
  <c r="AG117" i="85" a="1"/>
  <c r="AG117" i="85" s="1"/>
  <c r="AO117" i="85" a="1"/>
  <c r="AO117" i="85" s="1"/>
  <c r="AE117" i="85" a="1"/>
  <c r="AE117" i="85" s="1"/>
  <c r="AM117" i="85" a="1"/>
  <c r="AM117" i="85" s="1"/>
  <c r="AH117" i="85" a="1"/>
  <c r="AH117" i="85" s="1"/>
  <c r="AD117" i="85" a="1"/>
  <c r="AD117" i="85" s="1"/>
  <c r="AK117" i="85" a="1"/>
  <c r="AK117" i="85" s="1"/>
  <c r="AF117" i="85" a="1"/>
  <c r="AF117" i="85" s="1"/>
  <c r="AN117" i="85" a="1"/>
  <c r="AN117" i="85" s="1"/>
  <c r="AJ117" i="85" a="1"/>
  <c r="AJ117" i="85" s="1"/>
  <c r="BM111" i="85"/>
  <c r="BH111" i="85"/>
  <c r="BM103" i="85"/>
  <c r="BH103" i="85"/>
  <c r="AN101" i="85" a="1"/>
  <c r="AN101" i="85" s="1"/>
  <c r="AB101" i="85" s="1"/>
  <c r="AG101" i="85" a="1"/>
  <c r="AG101" i="85" s="1"/>
  <c r="U101" i="85" s="1"/>
  <c r="AF109" i="85" a="1"/>
  <c r="AF109" i="85" s="1"/>
  <c r="T109" i="85" s="1"/>
  <c r="AL100" i="85" a="1"/>
  <c r="AL100" i="85" s="1"/>
  <c r="Z100" i="85" s="1"/>
  <c r="AI109" i="85" a="1"/>
  <c r="AI109" i="85" s="1"/>
  <c r="W109" i="85" s="1"/>
  <c r="AK107" i="85" a="1"/>
  <c r="AK107" i="85" s="1"/>
  <c r="Y107" i="85" s="1"/>
  <c r="AG107" i="85" a="1"/>
  <c r="AG107" i="85" s="1"/>
  <c r="U107" i="85" s="1"/>
  <c r="AK101" i="85" a="1"/>
  <c r="AK101" i="85" s="1"/>
  <c r="Y101" i="85" s="1"/>
  <c r="Y131" i="85"/>
  <c r="BJ131" i="85"/>
  <c r="BH109" i="85"/>
  <c r="BM109" i="85"/>
  <c r="BH101" i="85"/>
  <c r="BM101" i="85"/>
  <c r="AF105" i="85" a="1"/>
  <c r="AF105" i="85" s="1"/>
  <c r="T105" i="85" s="1"/>
  <c r="W17" i="78" s="1"/>
  <c r="AH100" i="85" a="1"/>
  <c r="AH100" i="85" s="1"/>
  <c r="V100" i="85" s="1"/>
  <c r="AH109" i="85" a="1"/>
  <c r="AH109" i="85" s="1"/>
  <c r="V109" i="85" s="1"/>
  <c r="AJ131" i="85" a="1"/>
  <c r="AJ131" i="85" s="1"/>
  <c r="AH131" i="85" a="1"/>
  <c r="AH131" i="85" s="1"/>
  <c r="AD131" i="85" a="1"/>
  <c r="AD131" i="85" s="1"/>
  <c r="AF131" i="85" a="1"/>
  <c r="AF131" i="85" s="1"/>
  <c r="AN131" i="85" a="1"/>
  <c r="AN131" i="85" s="1"/>
  <c r="AI131" i="85" a="1"/>
  <c r="AI131" i="85" s="1"/>
  <c r="AL131" i="85" a="1"/>
  <c r="AL131" i="85" s="1"/>
  <c r="AG131" i="85" a="1"/>
  <c r="AG131" i="85" s="1"/>
  <c r="AO131" i="85" a="1"/>
  <c r="AO131" i="85" s="1"/>
  <c r="BI107" i="85"/>
  <c r="AJ109" i="85" a="1"/>
  <c r="AJ109" i="85" s="1"/>
  <c r="X109" i="85" s="1"/>
  <c r="AI100" i="85" a="1"/>
  <c r="AI100" i="85" s="1"/>
  <c r="AE109" i="85" a="1"/>
  <c r="AE109" i="85" s="1"/>
  <c r="S109" i="85" s="1"/>
  <c r="AJ100" i="85" a="1"/>
  <c r="AJ100" i="85" s="1"/>
  <c r="X100" i="85" s="1"/>
  <c r="AO101" i="85" a="1"/>
  <c r="AO101" i="85" s="1"/>
  <c r="AC101" i="85" s="1"/>
  <c r="AK100" i="85" a="1"/>
  <c r="AK100" i="85" s="1"/>
  <c r="Y100" i="85" s="1"/>
  <c r="AJ101" i="85" a="1"/>
  <c r="AJ101" i="85" s="1"/>
  <c r="X101" i="85" s="1"/>
  <c r="AE105" i="85" a="1"/>
  <c r="AE105" i="85" s="1"/>
  <c r="S105" i="85" s="1"/>
  <c r="V17" i="78" s="1"/>
  <c r="AH105" i="85" a="1"/>
  <c r="AH105" i="85" s="1"/>
  <c r="V105" i="85" s="1"/>
  <c r="AL109" i="85" a="1"/>
  <c r="AL109" i="85" s="1"/>
  <c r="Z109" i="85" s="1"/>
  <c r="AJ105" i="85" a="1"/>
  <c r="AJ105" i="85" s="1"/>
  <c r="X105" i="85" s="1"/>
  <c r="AI107" i="85" a="1"/>
  <c r="AI107" i="85" s="1"/>
  <c r="AF100" i="85" a="1"/>
  <c r="AF100" i="85" s="1"/>
  <c r="T100" i="85" s="1"/>
  <c r="W12" i="78" s="1"/>
  <c r="AM113" i="85" a="1"/>
  <c r="AM113" i="85" s="1"/>
  <c r="AA113" i="85" s="1"/>
  <c r="AD113" i="85" a="1"/>
  <c r="AD113" i="85" s="1"/>
  <c r="R113" i="85" s="1"/>
  <c r="U10" i="78" s="1"/>
  <c r="BD108" i="85"/>
  <c r="AL117" i="85" a="1"/>
  <c r="AL117" i="85" s="1"/>
  <c r="S131" i="85"/>
  <c r="BB113" i="85"/>
  <c r="BN113" i="85" s="1"/>
  <c r="BB105" i="85"/>
  <c r="BN105" i="85" s="1"/>
  <c r="BM100" i="85"/>
  <c r="F12" i="110"/>
  <c r="X35" i="106"/>
  <c r="N78" i="92"/>
  <c r="F79" i="92"/>
  <c r="G69" i="127" s="1"/>
  <c r="J80" i="92"/>
  <c r="K70" i="127" s="1"/>
  <c r="M80" i="92"/>
  <c r="J79" i="92"/>
  <c r="K69" i="127" s="1"/>
  <c r="I80" i="92"/>
  <c r="J70" i="127" s="1"/>
  <c r="D78" i="92"/>
  <c r="K79" i="92"/>
  <c r="O84" i="92"/>
  <c r="O90" i="92" s="1"/>
  <c r="M79" i="92"/>
  <c r="AP48" i="92"/>
  <c r="AP49" i="92" s="1"/>
  <c r="AP50" i="92" s="1"/>
  <c r="M78" i="92"/>
  <c r="P84" i="92"/>
  <c r="P90" i="92" s="1"/>
  <c r="Q71" i="92"/>
  <c r="Q88" i="92" s="1"/>
  <c r="G78" i="92"/>
  <c r="H68" i="127" s="1"/>
  <c r="E78" i="92"/>
  <c r="E83" i="92" s="1"/>
  <c r="E89" i="92" s="1"/>
  <c r="I85" i="92"/>
  <c r="I91" i="92" s="1"/>
  <c r="O88" i="92"/>
  <c r="O85" i="92"/>
  <c r="O91" i="92" s="1"/>
  <c r="F80" i="92"/>
  <c r="G70" i="127" s="1"/>
  <c r="N80" i="92"/>
  <c r="K80" i="92"/>
  <c r="F83" i="92"/>
  <c r="I68" i="127"/>
  <c r="I78" i="92"/>
  <c r="H80" i="92"/>
  <c r="I70" i="127" s="1"/>
  <c r="E80" i="92"/>
  <c r="F70" i="127" s="1"/>
  <c r="D90" i="92"/>
  <c r="H79" i="92"/>
  <c r="I69" i="127" s="1"/>
  <c r="D80" i="92"/>
  <c r="G80" i="92"/>
  <c r="H70" i="127" s="1"/>
  <c r="P88" i="92"/>
  <c r="P85" i="92"/>
  <c r="P91" i="92" s="1"/>
  <c r="L80" i="92"/>
  <c r="L78" i="92"/>
  <c r="C40" i="106"/>
  <c r="C52" i="111"/>
  <c r="B44" i="112"/>
  <c r="C52" i="112"/>
  <c r="B56" i="111"/>
  <c r="B56" i="112"/>
  <c r="B45" i="106"/>
  <c r="C55" i="106"/>
  <c r="C54" i="112"/>
  <c r="B58" i="113"/>
  <c r="G60" i="113" s="1"/>
  <c r="C57" i="106"/>
  <c r="C34" i="106"/>
  <c r="B2" i="93"/>
  <c r="C34" i="111"/>
  <c r="K20" i="82"/>
  <c r="L27" i="82"/>
  <c r="C48" i="112"/>
  <c r="C43" i="111"/>
  <c r="C40" i="112"/>
  <c r="T2" i="93"/>
  <c r="AC178" i="85"/>
  <c r="B131" i="85" s="1"/>
  <c r="B43" i="112"/>
  <c r="B49" i="112"/>
  <c r="B32" i="112"/>
  <c r="K28" i="113"/>
  <c r="C37" i="106"/>
  <c r="C44" i="111"/>
  <c r="L33" i="113"/>
  <c r="C39" i="112"/>
  <c r="C55" i="113"/>
  <c r="C44" i="112"/>
  <c r="K33" i="113"/>
  <c r="B55" i="113"/>
  <c r="G57" i="113" s="1"/>
  <c r="B44" i="106"/>
  <c r="B48" i="111"/>
  <c r="B47" i="112"/>
  <c r="C55" i="111"/>
  <c r="C36" i="106"/>
  <c r="C45" i="106"/>
  <c r="C36" i="111"/>
  <c r="B48" i="112"/>
  <c r="B58" i="106"/>
  <c r="C50" i="112"/>
  <c r="L31" i="113"/>
  <c r="C68" i="113" s="1"/>
  <c r="C38" i="112"/>
  <c r="B36" i="106"/>
  <c r="L2" i="93"/>
  <c r="B51" i="106"/>
  <c r="C39" i="111"/>
  <c r="K31" i="113"/>
  <c r="B68" i="113" s="1"/>
  <c r="L32" i="113"/>
  <c r="C69" i="113" s="1"/>
  <c r="B41" i="106"/>
  <c r="C61" i="113"/>
  <c r="C56" i="112"/>
  <c r="C41" i="106"/>
  <c r="C59" i="106"/>
  <c r="B40" i="111"/>
  <c r="C43" i="112"/>
  <c r="B54" i="112"/>
  <c r="L29" i="113"/>
  <c r="C67" i="113"/>
  <c r="B61" i="113"/>
  <c r="C58" i="113"/>
  <c r="G2" i="93"/>
  <c r="L28" i="113"/>
  <c r="AC2" i="93"/>
  <c r="C51" i="106"/>
  <c r="B56" i="106"/>
  <c r="B40" i="112"/>
  <c r="C48" i="111"/>
  <c r="K29" i="113"/>
  <c r="B42" i="111"/>
  <c r="B67" i="113"/>
  <c r="AE2" i="93"/>
  <c r="B53" i="111"/>
  <c r="J40" i="106"/>
  <c r="K40" i="106" s="1"/>
  <c r="F33" i="106"/>
  <c r="AF33" i="106" s="1"/>
  <c r="X36" i="106"/>
  <c r="X40" i="106"/>
  <c r="X38" i="106"/>
  <c r="W36" i="106"/>
  <c r="J45" i="106"/>
  <c r="AP12" i="79"/>
  <c r="AJ12" i="79"/>
  <c r="F2" i="93"/>
  <c r="B130" i="85"/>
  <c r="C58" i="106"/>
  <c r="B55" i="111"/>
  <c r="C55" i="112"/>
  <c r="X34" i="106"/>
  <c r="M2" i="93"/>
  <c r="C56" i="111"/>
  <c r="C39" i="106"/>
  <c r="C25" i="110"/>
  <c r="C35" i="111"/>
  <c r="W38" i="106"/>
  <c r="B49" i="106"/>
  <c r="AK2" i="93"/>
  <c r="C33" i="106"/>
  <c r="C40" i="111"/>
  <c r="C35" i="112"/>
  <c r="F32" i="106"/>
  <c r="W39" i="106"/>
  <c r="B47" i="106"/>
  <c r="K30" i="113"/>
  <c r="C49" i="106"/>
  <c r="C33" i="111"/>
  <c r="B35" i="111"/>
  <c r="C38" i="111"/>
  <c r="X37" i="106"/>
  <c r="C47" i="106"/>
  <c r="L30" i="113"/>
  <c r="C33" i="112"/>
  <c r="B35" i="112"/>
  <c r="B36" i="112"/>
  <c r="K38" i="106"/>
  <c r="W40" i="106"/>
  <c r="C13" i="80"/>
  <c r="C46" i="111"/>
  <c r="AO12" i="79"/>
  <c r="C46" i="112"/>
  <c r="X39" i="106"/>
  <c r="H21" i="87"/>
  <c r="H23" i="87" s="1"/>
  <c r="C50" i="111"/>
  <c r="C48" i="106"/>
  <c r="C64" i="113"/>
  <c r="B25" i="111"/>
  <c r="B14" i="111"/>
  <c r="B25" i="106"/>
  <c r="D11" i="78"/>
  <c r="B24" i="113"/>
  <c r="G26" i="113" s="1"/>
  <c r="D14" i="78"/>
  <c r="B18" i="110"/>
  <c r="B18" i="106"/>
  <c r="B20" i="111"/>
  <c r="B23" i="111"/>
  <c r="B15" i="106"/>
  <c r="B18" i="111"/>
  <c r="C25" i="112"/>
  <c r="G103" i="98"/>
  <c r="H103" i="98" s="1"/>
  <c r="D15" i="78"/>
  <c r="B14" i="110"/>
  <c r="B18" i="112"/>
  <c r="D10" i="111"/>
  <c r="G92" i="98"/>
  <c r="H92" i="98" s="1"/>
  <c r="D10" i="112"/>
  <c r="B11" i="110"/>
  <c r="B11" i="106"/>
  <c r="C23" i="112"/>
  <c r="C10" i="110"/>
  <c r="B25" i="112"/>
  <c r="C29" i="112"/>
  <c r="R14" i="88"/>
  <c r="S14" i="88" s="1"/>
  <c r="AW19" i="78"/>
  <c r="C33" i="113"/>
  <c r="B17" i="106"/>
  <c r="C17" i="106"/>
  <c r="F17" i="106" s="1"/>
  <c r="B21" i="110"/>
  <c r="B21" i="113"/>
  <c r="G23" i="113" s="1"/>
  <c r="B21" i="111"/>
  <c r="C22" i="112"/>
  <c r="AV19" i="78"/>
  <c r="G82" i="98"/>
  <c r="H82" i="98" s="1"/>
  <c r="H17" i="78"/>
  <c r="AT17" i="78"/>
  <c r="F94" i="98" s="1"/>
  <c r="D17" i="78"/>
  <c r="D21" i="78"/>
  <c r="C13" i="110"/>
  <c r="B21" i="106"/>
  <c r="B13" i="110"/>
  <c r="B21" i="112"/>
  <c r="C48" i="113"/>
  <c r="G97" i="98"/>
  <c r="H97" i="98" s="1"/>
  <c r="AF27" i="78"/>
  <c r="B17" i="111"/>
  <c r="V13" i="78"/>
  <c r="B17" i="112"/>
  <c r="C24" i="111"/>
  <c r="B33" i="113"/>
  <c r="G35" i="113" s="1"/>
  <c r="C24" i="112"/>
  <c r="C28" i="111"/>
  <c r="C24" i="106"/>
  <c r="W13" i="78"/>
  <c r="C13" i="111"/>
  <c r="G13" i="111" s="1"/>
  <c r="B26" i="112"/>
  <c r="C13" i="106"/>
  <c r="F13" i="106" s="1"/>
  <c r="C13" i="112"/>
  <c r="B10" i="112"/>
  <c r="B15" i="110"/>
  <c r="B13" i="106"/>
  <c r="AT13" i="78"/>
  <c r="F87" i="98" s="1"/>
  <c r="I27" i="106"/>
  <c r="X27" i="106" s="1"/>
  <c r="C21" i="113"/>
  <c r="M102" i="98"/>
  <c r="AX30" i="78"/>
  <c r="AY30" i="78" s="1"/>
  <c r="AZ30" i="78" s="1"/>
  <c r="BA30" i="78" s="1"/>
  <c r="AW25" i="78"/>
  <c r="AX25" i="78" s="1"/>
  <c r="AY25" i="78" s="1"/>
  <c r="AZ25" i="78" s="1"/>
  <c r="BA25" i="78" s="1"/>
  <c r="L25" i="111"/>
  <c r="X25" i="106"/>
  <c r="J25" i="106"/>
  <c r="AW29" i="78"/>
  <c r="AW26" i="78"/>
  <c r="AX26" i="78" s="1"/>
  <c r="BG26" i="78"/>
  <c r="BH26" i="78" s="1"/>
  <c r="BI26" i="78" s="1"/>
  <c r="BJ26" i="78" s="1"/>
  <c r="BK26" i="78" s="1"/>
  <c r="BL26" i="78" s="1"/>
  <c r="BM26" i="78" s="1"/>
  <c r="BN26" i="78" s="1"/>
  <c r="AX27" i="78"/>
  <c r="C14" i="112"/>
  <c r="B22" i="112"/>
  <c r="B15" i="112"/>
  <c r="C18" i="110"/>
  <c r="F18" i="110" s="1"/>
  <c r="B9" i="111"/>
  <c r="C24" i="113"/>
  <c r="B48" i="113"/>
  <c r="G50" i="113" s="1"/>
  <c r="B27" i="113"/>
  <c r="G29" i="113" s="1"/>
  <c r="B26" i="111"/>
  <c r="F18" i="106"/>
  <c r="B9" i="112"/>
  <c r="B22" i="110"/>
  <c r="C25" i="111"/>
  <c r="B26" i="106"/>
  <c r="C25" i="106"/>
  <c r="W30" i="106"/>
  <c r="F16" i="106"/>
  <c r="B11" i="111"/>
  <c r="C28" i="112"/>
  <c r="X24" i="106"/>
  <c r="B11" i="112"/>
  <c r="C18" i="111"/>
  <c r="G18" i="111" s="1"/>
  <c r="J24" i="106"/>
  <c r="X30" i="106"/>
  <c r="B29" i="111"/>
  <c r="C18" i="112"/>
  <c r="B29" i="112"/>
  <c r="C26" i="112"/>
  <c r="K7" i="82"/>
  <c r="L15" i="82"/>
  <c r="L9" i="82"/>
  <c r="K13" i="82"/>
  <c r="T29" i="78"/>
  <c r="AH29" i="78" s="1"/>
  <c r="AG29" i="78"/>
  <c r="AI29" i="78" s="1"/>
  <c r="S30" i="86"/>
  <c r="P30" i="86"/>
  <c r="Q35" i="85"/>
  <c r="H12" i="78" s="1"/>
  <c r="X10" i="79"/>
  <c r="K29" i="106"/>
  <c r="I21" i="81"/>
  <c r="M21" i="81"/>
  <c r="M18" i="81"/>
  <c r="I18" i="81"/>
  <c r="E15" i="81"/>
  <c r="M15" i="81"/>
  <c r="I15" i="81"/>
  <c r="E18" i="81"/>
  <c r="E21" i="81"/>
  <c r="D16" i="78"/>
  <c r="B16" i="110"/>
  <c r="B16" i="106"/>
  <c r="B30" i="113"/>
  <c r="G32" i="113" s="1"/>
  <c r="B16" i="112"/>
  <c r="B16" i="111"/>
  <c r="G84" i="98"/>
  <c r="H84" i="98" s="1"/>
  <c r="G90" i="98"/>
  <c r="H90" i="98" s="1"/>
  <c r="G93" i="98"/>
  <c r="H93" i="98" s="1"/>
  <c r="G96" i="98"/>
  <c r="H96" i="98" s="1"/>
  <c r="G102" i="98"/>
  <c r="H102" i="98" s="1"/>
  <c r="D12" i="78"/>
  <c r="G98" i="98"/>
  <c r="H98" i="98" s="1"/>
  <c r="G83" i="98"/>
  <c r="H83" i="98" s="1"/>
  <c r="G101" i="98"/>
  <c r="H101" i="98" s="1"/>
  <c r="B12" i="106"/>
  <c r="G100" i="98"/>
  <c r="H100" i="98" s="1"/>
  <c r="G85" i="98"/>
  <c r="H85" i="98" s="1"/>
  <c r="B12" i="110"/>
  <c r="G95" i="98"/>
  <c r="H95" i="98" s="1"/>
  <c r="G91" i="98"/>
  <c r="H91" i="98" s="1"/>
  <c r="G89" i="98"/>
  <c r="H89" i="98" s="1"/>
  <c r="B18" i="113"/>
  <c r="G20" i="113" s="1"/>
  <c r="G87" i="98"/>
  <c r="H87" i="98" s="1"/>
  <c r="G99" i="98"/>
  <c r="H99" i="98" s="1"/>
  <c r="G94" i="98"/>
  <c r="H94" i="98" s="1"/>
  <c r="B52" i="112"/>
  <c r="B52" i="111"/>
  <c r="B55" i="106"/>
  <c r="C47" i="112"/>
  <c r="C47" i="111"/>
  <c r="H2" i="93"/>
  <c r="C50" i="106"/>
  <c r="B41" i="112"/>
  <c r="B41" i="111"/>
  <c r="B42" i="106"/>
  <c r="C24" i="110"/>
  <c r="C32" i="112"/>
  <c r="C32" i="111"/>
  <c r="C32" i="106"/>
  <c r="C25" i="77"/>
  <c r="C23" i="106"/>
  <c r="C51" i="113"/>
  <c r="C19" i="112"/>
  <c r="C19" i="111"/>
  <c r="G19" i="111" s="1"/>
  <c r="C19" i="106"/>
  <c r="C19" i="110"/>
  <c r="F19" i="110" s="1"/>
  <c r="C39" i="113"/>
  <c r="C10" i="112"/>
  <c r="C10" i="111"/>
  <c r="G10" i="111" s="1"/>
  <c r="AU10" i="78"/>
  <c r="O5" i="88" s="1"/>
  <c r="V10" i="78"/>
  <c r="H10" i="78"/>
  <c r="C10" i="106"/>
  <c r="C12" i="113"/>
  <c r="W10" i="78"/>
  <c r="A54" i="106"/>
  <c r="A51" i="112"/>
  <c r="A51" i="111"/>
  <c r="B39" i="111"/>
  <c r="B40" i="106"/>
  <c r="B39" i="112"/>
  <c r="F17" i="110"/>
  <c r="M10" i="81"/>
  <c r="E10" i="81"/>
  <c r="P13" i="88"/>
  <c r="AV18" i="78" s="1"/>
  <c r="C21" i="111"/>
  <c r="G21" i="111" s="1"/>
  <c r="B28" i="111"/>
  <c r="B28" i="112"/>
  <c r="C21" i="112"/>
  <c r="J41" i="106"/>
  <c r="X41" i="106"/>
  <c r="J35" i="80"/>
  <c r="K35" i="80"/>
  <c r="H39" i="80"/>
  <c r="L35" i="80"/>
  <c r="I34" i="80"/>
  <c r="H37" i="80"/>
  <c r="J34" i="80"/>
  <c r="I36" i="80"/>
  <c r="K34" i="80"/>
  <c r="H38" i="80"/>
  <c r="L34" i="80"/>
  <c r="K36" i="80"/>
  <c r="I35" i="80"/>
  <c r="X42" i="106"/>
  <c r="J42" i="106"/>
  <c r="X44" i="106"/>
  <c r="J44" i="106"/>
  <c r="E45" i="116"/>
  <c r="I32" i="80" s="1"/>
  <c r="I40" i="116"/>
  <c r="D45" i="116"/>
  <c r="H32" i="80" s="1"/>
  <c r="H45" i="116"/>
  <c r="L32" i="80" s="1"/>
  <c r="G45" i="116"/>
  <c r="K32" i="80" s="1"/>
  <c r="H42" i="106"/>
  <c r="E61" i="113"/>
  <c r="E42" i="113"/>
  <c r="E24" i="113"/>
  <c r="E58" i="113"/>
  <c r="E39" i="113"/>
  <c r="E21" i="113"/>
  <c r="E27" i="113"/>
  <c r="E55" i="113"/>
  <c r="E36" i="113"/>
  <c r="E18" i="113"/>
  <c r="E51" i="113"/>
  <c r="E33" i="113"/>
  <c r="E15" i="113"/>
  <c r="E48" i="113"/>
  <c r="E30" i="113"/>
  <c r="E12" i="113"/>
  <c r="E64" i="113"/>
  <c r="E45" i="113"/>
  <c r="E9" i="113"/>
  <c r="J7" i="113"/>
  <c r="B20" i="102"/>
  <c r="B31" i="102"/>
  <c r="AD22" i="78" l="1"/>
  <c r="AC22" i="78"/>
  <c r="AB22" i="78"/>
  <c r="AA22" i="78"/>
  <c r="Z22" i="78"/>
  <c r="Y22" i="78"/>
  <c r="X22" i="78"/>
  <c r="AE22" i="78"/>
  <c r="AE20" i="78"/>
  <c r="AD20" i="78"/>
  <c r="AB20" i="78"/>
  <c r="AC20" i="78"/>
  <c r="AA20" i="78"/>
  <c r="Y20" i="78"/>
  <c r="Z20" i="78"/>
  <c r="X20" i="78"/>
  <c r="AD17" i="78"/>
  <c r="AB17" i="78"/>
  <c r="AC17" i="78"/>
  <c r="AA17" i="78"/>
  <c r="Y17" i="78"/>
  <c r="Z17" i="78"/>
  <c r="X17" i="78"/>
  <c r="AE17" i="78"/>
  <c r="X9" i="78"/>
  <c r="AA9" i="78"/>
  <c r="Z9" i="78"/>
  <c r="Y9" i="78"/>
  <c r="AC9" i="78"/>
  <c r="AB9" i="78"/>
  <c r="AF22" i="106"/>
  <c r="AD16" i="78"/>
  <c r="AB16" i="78"/>
  <c r="AC16" i="78"/>
  <c r="Z16" i="78"/>
  <c r="X16" i="78"/>
  <c r="AE16" i="78"/>
  <c r="Y16" i="78"/>
  <c r="AA16" i="78"/>
  <c r="D33" i="106"/>
  <c r="D33" i="111"/>
  <c r="D25" i="110"/>
  <c r="C24" i="77"/>
  <c r="D33" i="112"/>
  <c r="P1" i="86"/>
  <c r="BI112" i="85"/>
  <c r="BM112" i="85"/>
  <c r="BI104" i="85"/>
  <c r="N16" i="110" s="1"/>
  <c r="BJ110" i="85"/>
  <c r="O22" i="110" s="1"/>
  <c r="BI110" i="85"/>
  <c r="N22" i="110" s="1"/>
  <c r="BI108" i="85"/>
  <c r="N21" i="110" s="1"/>
  <c r="BB104" i="85"/>
  <c r="BN104" i="85" s="1"/>
  <c r="BD102" i="85"/>
  <c r="BE110" i="85"/>
  <c r="BD110" i="85"/>
  <c r="BI106" i="85"/>
  <c r="BM106" i="85"/>
  <c r="R20" i="110" s="1"/>
  <c r="S20" i="110" s="1"/>
  <c r="BI105" i="85"/>
  <c r="N17" i="110" s="1"/>
  <c r="BH105" i="85"/>
  <c r="M17" i="110" s="1"/>
  <c r="J17" i="106" s="1"/>
  <c r="R17" i="110"/>
  <c r="S17" i="110" s="1"/>
  <c r="BB106" i="85"/>
  <c r="BN106" i="85" s="1"/>
  <c r="R10" i="110"/>
  <c r="S10" i="110" s="1"/>
  <c r="BJ114" i="85"/>
  <c r="J22" i="110"/>
  <c r="K22" i="106" s="1"/>
  <c r="S9" i="83"/>
  <c r="I9" i="83" s="1"/>
  <c r="M73" i="98"/>
  <c r="N58" i="98"/>
  <c r="I10" i="81" s="1"/>
  <c r="P65" i="98"/>
  <c r="Q65" i="98" s="1"/>
  <c r="H17" i="81" s="1"/>
  <c r="P58" i="98"/>
  <c r="P59" i="98"/>
  <c r="Q59" i="98" s="1"/>
  <c r="H11" i="81" s="1"/>
  <c r="D11" i="79"/>
  <c r="D34" i="106" s="1"/>
  <c r="AN9" i="79"/>
  <c r="AN10" i="79" s="1"/>
  <c r="AN11" i="79" s="1"/>
  <c r="K27" i="79"/>
  <c r="K38" i="79" s="1"/>
  <c r="J43" i="106"/>
  <c r="K43" i="106" s="1"/>
  <c r="D71" i="116"/>
  <c r="AK66" i="116"/>
  <c r="AK60" i="116"/>
  <c r="F72" i="116"/>
  <c r="AK65" i="116"/>
  <c r="AJ68" i="116"/>
  <c r="AK68" i="116" s="1"/>
  <c r="D72" i="116"/>
  <c r="AK64" i="116"/>
  <c r="AJ67" i="116"/>
  <c r="AK67" i="116" s="1"/>
  <c r="D70" i="116"/>
  <c r="F70" i="116"/>
  <c r="AK63" i="116"/>
  <c r="F71" i="116"/>
  <c r="N27" i="99"/>
  <c r="M26" i="99"/>
  <c r="U7" i="83"/>
  <c r="T8" i="83"/>
  <c r="T18" i="93"/>
  <c r="V17" i="93"/>
  <c r="G11" i="80"/>
  <c r="G23" i="80" s="1"/>
  <c r="R26" i="99"/>
  <c r="Q27" i="99"/>
  <c r="K20" i="99"/>
  <c r="L21" i="99"/>
  <c r="L11" i="79"/>
  <c r="U20" i="99"/>
  <c r="U21" i="99" s="1"/>
  <c r="T21" i="99"/>
  <c r="E69" i="127"/>
  <c r="E70" i="127"/>
  <c r="E68" i="127"/>
  <c r="Q58" i="98"/>
  <c r="H10" i="81" s="1"/>
  <c r="F12" i="78"/>
  <c r="D9" i="110"/>
  <c r="F14" i="78"/>
  <c r="D20" i="106"/>
  <c r="F20" i="78"/>
  <c r="F11" i="78"/>
  <c r="D9" i="106"/>
  <c r="F13" i="78"/>
  <c r="K25" i="79"/>
  <c r="F21" i="78"/>
  <c r="L25" i="79"/>
  <c r="F17" i="78"/>
  <c r="J25" i="79"/>
  <c r="D9" i="111"/>
  <c r="F9" i="78"/>
  <c r="D9" i="112"/>
  <c r="C13" i="77"/>
  <c r="D15" i="110"/>
  <c r="F15" i="78"/>
  <c r="F16" i="78"/>
  <c r="Z83" i="85"/>
  <c r="M9" i="110"/>
  <c r="J9" i="106" s="1"/>
  <c r="AB83" i="85"/>
  <c r="Y83" i="85"/>
  <c r="AC83" i="85"/>
  <c r="R83" i="85"/>
  <c r="AA14" i="106"/>
  <c r="AH14" i="106" s="1"/>
  <c r="H9" i="110"/>
  <c r="I9" i="106" s="1"/>
  <c r="D32" i="111"/>
  <c r="F9" i="79"/>
  <c r="R21" i="110"/>
  <c r="S21" i="110" s="1"/>
  <c r="M21" i="110"/>
  <c r="J21" i="106" s="1"/>
  <c r="AA21" i="106"/>
  <c r="AH21" i="106" s="1"/>
  <c r="AG21" i="106" s="1"/>
  <c r="H20" i="110"/>
  <c r="I20" i="106" s="1"/>
  <c r="C122" i="85"/>
  <c r="AD122" i="85" s="1" a="1"/>
  <c r="AD122" i="85" s="1"/>
  <c r="I21" i="110"/>
  <c r="H21" i="110"/>
  <c r="I21" i="106" s="1"/>
  <c r="M20" i="110"/>
  <c r="J20" i="106" s="1"/>
  <c r="AF9" i="106"/>
  <c r="N9" i="106" s="1"/>
  <c r="R9" i="106" s="1"/>
  <c r="M11" i="110"/>
  <c r="J11" i="106" s="1"/>
  <c r="R11" i="110"/>
  <c r="S11" i="110" s="1"/>
  <c r="C118" i="85"/>
  <c r="AK118" i="85" s="1" a="1"/>
  <c r="AK118" i="85" s="1"/>
  <c r="Y118" i="85" s="1"/>
  <c r="D20" i="111"/>
  <c r="H16" i="110"/>
  <c r="I16" i="106" s="1"/>
  <c r="H15" i="110"/>
  <c r="I15" i="106" s="1"/>
  <c r="I16" i="110"/>
  <c r="S83" i="85"/>
  <c r="F16" i="110"/>
  <c r="R16" i="110"/>
  <c r="S16" i="110" s="1"/>
  <c r="D20" i="112"/>
  <c r="D20" i="110"/>
  <c r="AX19" i="78"/>
  <c r="C11" i="77"/>
  <c r="H22" i="110"/>
  <c r="I22" i="106" s="1"/>
  <c r="C128" i="85"/>
  <c r="AK128" i="85" s="1" a="1"/>
  <c r="AK128" i="85" s="1"/>
  <c r="R22" i="110"/>
  <c r="S22" i="110" s="1"/>
  <c r="M22" i="110"/>
  <c r="J22" i="106" s="1"/>
  <c r="I14" i="110"/>
  <c r="D13" i="106"/>
  <c r="H14" i="110"/>
  <c r="I14" i="106" s="1"/>
  <c r="D13" i="110"/>
  <c r="D13" i="112"/>
  <c r="D13" i="111"/>
  <c r="S93" i="85"/>
  <c r="V93" i="85"/>
  <c r="U93" i="85"/>
  <c r="T93" i="85"/>
  <c r="Q4" i="88"/>
  <c r="AW9" i="78" s="1"/>
  <c r="S78" i="85" s="1"/>
  <c r="D15" i="111"/>
  <c r="D15" i="106"/>
  <c r="D32" i="112"/>
  <c r="D32" i="106"/>
  <c r="D24" i="110"/>
  <c r="S87" i="85"/>
  <c r="I86" i="98"/>
  <c r="AA20" i="106"/>
  <c r="AH20" i="106" s="1"/>
  <c r="AG20" i="106" s="1"/>
  <c r="C16" i="77"/>
  <c r="V22" i="106"/>
  <c r="D15" i="112"/>
  <c r="R76" i="85"/>
  <c r="Q17" i="88"/>
  <c r="AW22" i="78" s="1"/>
  <c r="S76" i="85" s="1"/>
  <c r="D12" i="79"/>
  <c r="AA33" i="106"/>
  <c r="K17" i="79"/>
  <c r="K23" i="79"/>
  <c r="J23" i="79"/>
  <c r="J37" i="79" s="1"/>
  <c r="J11" i="79"/>
  <c r="L17" i="79"/>
  <c r="J17" i="79"/>
  <c r="G66" i="113"/>
  <c r="K15" i="79"/>
  <c r="J15" i="79"/>
  <c r="L23" i="79"/>
  <c r="G67" i="113"/>
  <c r="G69" i="113"/>
  <c r="L12" i="79"/>
  <c r="G68" i="113"/>
  <c r="AN12" i="79"/>
  <c r="H13" i="110"/>
  <c r="I13" i="106" s="1"/>
  <c r="BB114" i="85"/>
  <c r="BN114" i="85" s="1"/>
  <c r="H17" i="110"/>
  <c r="I17" i="106" s="1"/>
  <c r="N20" i="110"/>
  <c r="W105" i="85"/>
  <c r="BB102" i="85"/>
  <c r="BN102" i="85" s="1"/>
  <c r="S33" i="86"/>
  <c r="H11" i="110"/>
  <c r="I11" i="106" s="1"/>
  <c r="BB112" i="85"/>
  <c r="BN112" i="85" s="1"/>
  <c r="N18" i="110"/>
  <c r="Q36" i="85"/>
  <c r="H13" i="78" s="1"/>
  <c r="R9" i="110"/>
  <c r="S9" i="110" s="1"/>
  <c r="I22" i="110"/>
  <c r="R14" i="110"/>
  <c r="S14" i="110" s="1"/>
  <c r="M14" i="110"/>
  <c r="J14" i="106" s="1"/>
  <c r="W102" i="85"/>
  <c r="V131" i="85"/>
  <c r="BG131" i="85"/>
  <c r="BB101" i="85"/>
  <c r="BN101" i="85" s="1"/>
  <c r="BG117" i="85"/>
  <c r="V117" i="85"/>
  <c r="BE130" i="85"/>
  <c r="T130" i="85"/>
  <c r="BL130" i="85"/>
  <c r="AA130" i="85"/>
  <c r="BN131" i="85"/>
  <c r="AC131" i="85"/>
  <c r="X131" i="85"/>
  <c r="BI131" i="85"/>
  <c r="AA117" i="85"/>
  <c r="BL117" i="85"/>
  <c r="BI130" i="85"/>
  <c r="X130" i="85"/>
  <c r="S130" i="85"/>
  <c r="BD130" i="85"/>
  <c r="H10" i="110"/>
  <c r="I10" i="106" s="1"/>
  <c r="U131" i="85"/>
  <c r="BF131" i="85"/>
  <c r="BB109" i="85"/>
  <c r="BN109" i="85" s="1"/>
  <c r="R24" i="110"/>
  <c r="K32" i="106" s="1"/>
  <c r="M15" i="110"/>
  <c r="J15" i="106" s="1"/>
  <c r="BD117" i="85"/>
  <c r="S117" i="85"/>
  <c r="AC130" i="85"/>
  <c r="BN130" i="85"/>
  <c r="BB100" i="85"/>
  <c r="BN100" i="85" s="1"/>
  <c r="R12" i="110"/>
  <c r="S12" i="110" s="1"/>
  <c r="Z117" i="85"/>
  <c r="BK117" i="85"/>
  <c r="M12" i="110"/>
  <c r="J12" i="106" s="1"/>
  <c r="W100" i="85"/>
  <c r="Z131" i="85"/>
  <c r="BK131" i="85"/>
  <c r="M24" i="110"/>
  <c r="J32" i="106" s="1"/>
  <c r="BJ104" i="85"/>
  <c r="BJ106" i="85"/>
  <c r="R15" i="110"/>
  <c r="S15" i="110" s="1"/>
  <c r="BB103" i="85"/>
  <c r="BN103" i="85" s="1"/>
  <c r="X117" i="85"/>
  <c r="BI117" i="85"/>
  <c r="AC117" i="85"/>
  <c r="BN117" i="85"/>
  <c r="U130" i="85"/>
  <c r="BF130" i="85"/>
  <c r="N9" i="110"/>
  <c r="BJ112" i="85"/>
  <c r="BH131" i="85"/>
  <c r="W131" i="85"/>
  <c r="BJ107" i="85"/>
  <c r="BM117" i="85"/>
  <c r="AB117" i="85"/>
  <c r="BF117" i="85"/>
  <c r="U117" i="85"/>
  <c r="BC130" i="85"/>
  <c r="R130" i="85"/>
  <c r="H12" i="110"/>
  <c r="I12" i="106" s="1"/>
  <c r="W107" i="85"/>
  <c r="R19" i="110"/>
  <c r="S19" i="110" s="1"/>
  <c r="R18" i="110"/>
  <c r="S18" i="110" s="1"/>
  <c r="BM131" i="85"/>
  <c r="AB131" i="85"/>
  <c r="BD107" i="85"/>
  <c r="M25" i="110"/>
  <c r="BE117" i="85"/>
  <c r="T117" i="85"/>
  <c r="W117" i="85"/>
  <c r="BH117" i="85"/>
  <c r="BK130" i="85"/>
  <c r="Z130" i="85"/>
  <c r="BE131" i="85"/>
  <c r="T131" i="85"/>
  <c r="BB111" i="85"/>
  <c r="BN111" i="85" s="1"/>
  <c r="R25" i="110"/>
  <c r="K33" i="106" s="1"/>
  <c r="Y117" i="85"/>
  <c r="BJ117" i="85"/>
  <c r="AB130" i="85"/>
  <c r="BM130" i="85"/>
  <c r="W130" i="85"/>
  <c r="BH130" i="85"/>
  <c r="BC131" i="85"/>
  <c r="R131" i="85"/>
  <c r="BE108" i="85"/>
  <c r="BE104" i="85"/>
  <c r="R117" i="85"/>
  <c r="BC117" i="85"/>
  <c r="V130" i="85"/>
  <c r="BG130" i="85"/>
  <c r="Y130" i="85"/>
  <c r="BJ130" i="85"/>
  <c r="R73" i="85"/>
  <c r="AH22" i="106"/>
  <c r="N21" i="106"/>
  <c r="R21" i="106" s="1"/>
  <c r="N20" i="106"/>
  <c r="R20" i="106" s="1"/>
  <c r="N22" i="106"/>
  <c r="R22" i="106" s="1"/>
  <c r="AA12" i="106"/>
  <c r="AH12" i="106" s="1"/>
  <c r="N14" i="106"/>
  <c r="R14" i="106" s="1"/>
  <c r="L26" i="79"/>
  <c r="F68" i="127"/>
  <c r="Q84" i="92"/>
  <c r="Q90" i="92" s="1"/>
  <c r="R71" i="92"/>
  <c r="Q85" i="92"/>
  <c r="Q91" i="92" s="1"/>
  <c r="J68" i="127"/>
  <c r="G83" i="92"/>
  <c r="F89" i="92"/>
  <c r="F92" i="92" s="1"/>
  <c r="D77" i="92"/>
  <c r="AM12" i="79"/>
  <c r="G63" i="113"/>
  <c r="H24" i="87"/>
  <c r="AH26" i="78" s="1"/>
  <c r="H22" i="87"/>
  <c r="Q14" i="79" s="1"/>
  <c r="K11" i="79"/>
  <c r="K26" i="79"/>
  <c r="J19" i="79"/>
  <c r="J18" i="79"/>
  <c r="J27" i="79"/>
  <c r="J38" i="79" s="1"/>
  <c r="J20" i="79"/>
  <c r="J21" i="79"/>
  <c r="D34" i="111"/>
  <c r="J26" i="79"/>
  <c r="J12" i="79"/>
  <c r="J29" i="79"/>
  <c r="J28" i="79"/>
  <c r="I92" i="98"/>
  <c r="I98" i="98"/>
  <c r="I89" i="98"/>
  <c r="N33" i="106"/>
  <c r="R68" i="85"/>
  <c r="V14" i="106"/>
  <c r="K12" i="79"/>
  <c r="K45" i="106"/>
  <c r="K42" i="106"/>
  <c r="Q13" i="88"/>
  <c r="AW18" i="78" s="1"/>
  <c r="S73" i="85" s="1"/>
  <c r="AF32" i="106"/>
  <c r="AG32" i="106" s="1"/>
  <c r="O32" i="106" s="1"/>
  <c r="S32" i="106" s="1"/>
  <c r="AA32" i="106"/>
  <c r="K41" i="106"/>
  <c r="H25" i="110"/>
  <c r="I33" i="106" s="1"/>
  <c r="F10" i="110"/>
  <c r="M10" i="110"/>
  <c r="J10" i="106" s="1"/>
  <c r="D11" i="112"/>
  <c r="D11" i="106"/>
  <c r="D11" i="110"/>
  <c r="D11" i="111"/>
  <c r="I102" i="98"/>
  <c r="D14" i="106"/>
  <c r="D14" i="110"/>
  <c r="D14" i="112"/>
  <c r="D14" i="111"/>
  <c r="AF13" i="106"/>
  <c r="AA13" i="106"/>
  <c r="AF15" i="106"/>
  <c r="AA15" i="106"/>
  <c r="AF11" i="106"/>
  <c r="AA11" i="106"/>
  <c r="M13" i="110"/>
  <c r="J13" i="106" s="1"/>
  <c r="R13" i="110"/>
  <c r="S13" i="110" s="1"/>
  <c r="F13" i="110"/>
  <c r="V19" i="106"/>
  <c r="L19" i="111"/>
  <c r="AF17" i="106"/>
  <c r="AA17" i="106"/>
  <c r="AF16" i="106"/>
  <c r="AA16" i="106"/>
  <c r="J27" i="106"/>
  <c r="K27" i="106" s="1"/>
  <c r="D21" i="112"/>
  <c r="D21" i="106"/>
  <c r="D21" i="110"/>
  <c r="D21" i="111"/>
  <c r="D17" i="111"/>
  <c r="D17" i="112"/>
  <c r="D17" i="110"/>
  <c r="D17" i="106"/>
  <c r="V16" i="106"/>
  <c r="AF18" i="106"/>
  <c r="AA18" i="106"/>
  <c r="L16" i="111"/>
  <c r="M32" i="80"/>
  <c r="Q9" i="88"/>
  <c r="R9" i="88" s="1"/>
  <c r="AX14" i="78" s="1"/>
  <c r="T68" i="85" s="1"/>
  <c r="S82" i="85"/>
  <c r="AX29" i="78"/>
  <c r="AY27" i="78"/>
  <c r="T87" i="85"/>
  <c r="K25" i="106"/>
  <c r="F10" i="106"/>
  <c r="Q15" i="88"/>
  <c r="AW20" i="78" s="1"/>
  <c r="S72" i="85" s="1"/>
  <c r="K24" i="106"/>
  <c r="AY19" i="78"/>
  <c r="T14" i="88"/>
  <c r="R14" i="79"/>
  <c r="AG26" i="78"/>
  <c r="F19" i="106"/>
  <c r="AY26" i="78"/>
  <c r="T83" i="85"/>
  <c r="M25" i="111"/>
  <c r="J25" i="111" s="1"/>
  <c r="BB25" i="78"/>
  <c r="BC25" i="78" s="1"/>
  <c r="BD25" i="78" s="1"/>
  <c r="BE25" i="78" s="1"/>
  <c r="BF25" i="78" s="1"/>
  <c r="BG25" i="78" s="1"/>
  <c r="BH25" i="78" s="1"/>
  <c r="BI25" i="78" s="1"/>
  <c r="BJ25" i="78" s="1"/>
  <c r="BK25" i="78" s="1"/>
  <c r="BL25" i="78" s="1"/>
  <c r="BM25" i="78" s="1"/>
  <c r="BN25" i="78" s="1"/>
  <c r="BO25" i="78" s="1"/>
  <c r="BP25" i="78" s="1"/>
  <c r="BQ25" i="78" s="1"/>
  <c r="BR25" i="78" s="1"/>
  <c r="BS25" i="78" s="1"/>
  <c r="BT25" i="78" s="1"/>
  <c r="BB30" i="78"/>
  <c r="W93" i="85"/>
  <c r="Q12" i="88"/>
  <c r="Q11" i="88"/>
  <c r="P33" i="86"/>
  <c r="R71" i="85"/>
  <c r="L17" i="111"/>
  <c r="V17" i="106"/>
  <c r="P72" i="86"/>
  <c r="Q10" i="88"/>
  <c r="AW15" i="78" s="1"/>
  <c r="S69" i="85" s="1"/>
  <c r="Q60" i="85"/>
  <c r="H9" i="78" s="1"/>
  <c r="T69" i="86"/>
  <c r="L20" i="111"/>
  <c r="V20" i="106"/>
  <c r="I90" i="98"/>
  <c r="M90" i="98"/>
  <c r="I100" i="98"/>
  <c r="M100" i="98"/>
  <c r="R80" i="85"/>
  <c r="V11" i="106"/>
  <c r="L11" i="111"/>
  <c r="P5" i="88"/>
  <c r="Q5" i="88" s="1"/>
  <c r="O18" i="88"/>
  <c r="V13" i="106"/>
  <c r="L13" i="111"/>
  <c r="K30" i="79"/>
  <c r="V21" i="106"/>
  <c r="L21" i="111"/>
  <c r="V15" i="106"/>
  <c r="L15" i="111"/>
  <c r="R69" i="85"/>
  <c r="I88" i="98"/>
  <c r="M88" i="98"/>
  <c r="I83" i="98"/>
  <c r="M83" i="98"/>
  <c r="I82" i="98"/>
  <c r="M82" i="98"/>
  <c r="Q6" i="88"/>
  <c r="I84" i="98"/>
  <c r="M84" i="98"/>
  <c r="I101" i="98"/>
  <c r="M101" i="98"/>
  <c r="K19" i="79"/>
  <c r="R72" i="85"/>
  <c r="I97" i="98"/>
  <c r="M97" i="98"/>
  <c r="V9" i="106"/>
  <c r="L9" i="111"/>
  <c r="R78" i="85"/>
  <c r="M99" i="98"/>
  <c r="I99" i="98"/>
  <c r="H24" i="110"/>
  <c r="I32" i="106" s="1"/>
  <c r="V18" i="106"/>
  <c r="L18" i="111"/>
  <c r="R74" i="85"/>
  <c r="Q16" i="88"/>
  <c r="AV12" i="78"/>
  <c r="Q7" i="88"/>
  <c r="M96" i="98"/>
  <c r="I96" i="98"/>
  <c r="M94" i="98"/>
  <c r="I94" i="98"/>
  <c r="I91" i="98"/>
  <c r="M91" i="98"/>
  <c r="I87" i="98"/>
  <c r="M87" i="98"/>
  <c r="M95" i="98"/>
  <c r="I95" i="98"/>
  <c r="M93" i="98"/>
  <c r="I93" i="98"/>
  <c r="C10" i="77"/>
  <c r="C12" i="77"/>
  <c r="C20" i="77"/>
  <c r="C17" i="77"/>
  <c r="D12" i="110"/>
  <c r="C22" i="77"/>
  <c r="C14" i="77"/>
  <c r="C15" i="77"/>
  <c r="C19" i="77"/>
  <c r="C18" i="77"/>
  <c r="C21" i="77"/>
  <c r="D12" i="112"/>
  <c r="D12" i="106"/>
  <c r="D12" i="111"/>
  <c r="D16" i="111"/>
  <c r="D16" i="110"/>
  <c r="D16" i="112"/>
  <c r="D16" i="106"/>
  <c r="Q8" i="88"/>
  <c r="K21" i="79"/>
  <c r="L27" i="79"/>
  <c r="K13" i="79"/>
  <c r="K20" i="79"/>
  <c r="J16" i="79"/>
  <c r="I85" i="98"/>
  <c r="M85" i="98"/>
  <c r="M103" i="98"/>
  <c r="I103" i="98"/>
  <c r="J43" i="80"/>
  <c r="J41" i="80"/>
  <c r="J42" i="80"/>
  <c r="J44" i="80"/>
  <c r="J40" i="80"/>
  <c r="J11" i="80"/>
  <c r="I43" i="80"/>
  <c r="I41" i="80"/>
  <c r="I42" i="80"/>
  <c r="I44" i="80"/>
  <c r="I40" i="80"/>
  <c r="I11" i="80"/>
  <c r="I12" i="80"/>
  <c r="I24" i="80" s="1"/>
  <c r="I59" i="80"/>
  <c r="I61" i="80"/>
  <c r="I58" i="80"/>
  <c r="I57" i="80"/>
  <c r="I60" i="80"/>
  <c r="J57" i="80"/>
  <c r="J60" i="80"/>
  <c r="J59" i="80"/>
  <c r="J12" i="80"/>
  <c r="J61" i="80"/>
  <c r="J58" i="80"/>
  <c r="L57" i="80"/>
  <c r="L59" i="80"/>
  <c r="L60" i="80"/>
  <c r="L61" i="80"/>
  <c r="L58" i="80"/>
  <c r="L12" i="80"/>
  <c r="L24" i="80" s="1"/>
  <c r="K57" i="80"/>
  <c r="K59" i="80"/>
  <c r="K60" i="80"/>
  <c r="K12" i="80"/>
  <c r="K61" i="80"/>
  <c r="K58" i="80"/>
  <c r="K43" i="80"/>
  <c r="K41" i="80"/>
  <c r="K42" i="80"/>
  <c r="K44" i="80"/>
  <c r="K40" i="80"/>
  <c r="K11" i="80"/>
  <c r="L40" i="80"/>
  <c r="L11" i="80"/>
  <c r="L43" i="80"/>
  <c r="L41" i="80"/>
  <c r="L42" i="80"/>
  <c r="L44" i="80"/>
  <c r="H59" i="80"/>
  <c r="H61" i="80"/>
  <c r="H58" i="80"/>
  <c r="H60" i="80"/>
  <c r="H57" i="80"/>
  <c r="H12" i="80"/>
  <c r="H24" i="80" s="1"/>
  <c r="F59" i="113"/>
  <c r="F40" i="113"/>
  <c r="F22" i="113"/>
  <c r="F56" i="113"/>
  <c r="F37" i="113"/>
  <c r="F19" i="113"/>
  <c r="F52" i="113"/>
  <c r="F34" i="113"/>
  <c r="F16" i="113"/>
  <c r="F65" i="113"/>
  <c r="F49" i="113"/>
  <c r="F31" i="113"/>
  <c r="F13" i="113"/>
  <c r="F46" i="113"/>
  <c r="F28" i="113"/>
  <c r="F10" i="113"/>
  <c r="F62" i="113"/>
  <c r="F43" i="113"/>
  <c r="F25" i="113"/>
  <c r="D34" i="112" l="1"/>
  <c r="BJ105" i="85"/>
  <c r="BI100" i="85"/>
  <c r="N12" i="110" s="1"/>
  <c r="BI114" i="85"/>
  <c r="N11" i="110" s="1"/>
  <c r="BJ108" i="85"/>
  <c r="O21" i="110" s="1"/>
  <c r="BI102" i="85"/>
  <c r="N14" i="110" s="1"/>
  <c r="BI103" i="85"/>
  <c r="N15" i="110" s="1"/>
  <c r="BI101" i="85"/>
  <c r="N13" i="110" s="1"/>
  <c r="BK110" i="85"/>
  <c r="P22" i="110" s="1"/>
  <c r="BJ113" i="85"/>
  <c r="O10" i="110" s="1"/>
  <c r="BI113" i="85"/>
  <c r="N10" i="110" s="1"/>
  <c r="BE102" i="85"/>
  <c r="J14" i="110" s="1"/>
  <c r="K14" i="106" s="1"/>
  <c r="BD100" i="85"/>
  <c r="I12" i="110" s="1"/>
  <c r="BD101" i="85"/>
  <c r="I13" i="110" s="1"/>
  <c r="BD103" i="85"/>
  <c r="I15" i="110" s="1"/>
  <c r="BD113" i="85"/>
  <c r="I10" i="110" s="1"/>
  <c r="BE112" i="85"/>
  <c r="J9" i="110" s="1"/>
  <c r="K9" i="106" s="1"/>
  <c r="BD114" i="85"/>
  <c r="I11" i="110" s="1"/>
  <c r="BD112" i="85"/>
  <c r="I9" i="110" s="1"/>
  <c r="BD106" i="85"/>
  <c r="I20" i="110" s="1"/>
  <c r="BD105" i="85"/>
  <c r="I17" i="110" s="1"/>
  <c r="BI111" i="85"/>
  <c r="N25" i="110" s="1"/>
  <c r="BD111" i="85"/>
  <c r="I25" i="110" s="1"/>
  <c r="BD109" i="85"/>
  <c r="I24" i="110" s="1"/>
  <c r="BI109" i="85"/>
  <c r="N24" i="110" s="1"/>
  <c r="BE113" i="85"/>
  <c r="N19" i="110"/>
  <c r="BJ109" i="85"/>
  <c r="T9" i="83"/>
  <c r="J27" i="83" s="1"/>
  <c r="F11" i="79"/>
  <c r="P68" i="98"/>
  <c r="Q68" i="98" s="1"/>
  <c r="H20" i="81" s="1"/>
  <c r="P71" i="98"/>
  <c r="Q71" i="98" s="1"/>
  <c r="H23" i="81" s="1"/>
  <c r="P64" i="98"/>
  <c r="Q64" i="98" s="1"/>
  <c r="H16" i="81" s="1"/>
  <c r="P63" i="98"/>
  <c r="Q63" i="98" s="1"/>
  <c r="H15" i="81" s="1"/>
  <c r="P66" i="98"/>
  <c r="Q66" i="98" s="1"/>
  <c r="H18" i="81" s="1"/>
  <c r="P70" i="98"/>
  <c r="Q70" i="98" s="1"/>
  <c r="H22" i="81" s="1"/>
  <c r="P61" i="98"/>
  <c r="Q61" i="98" s="1"/>
  <c r="H13" i="81" s="1"/>
  <c r="P62" i="98"/>
  <c r="Q62" i="98" s="1"/>
  <c r="H14" i="81" s="1"/>
  <c r="P60" i="98"/>
  <c r="P69" i="98"/>
  <c r="Q69" i="98" s="1"/>
  <c r="H21" i="81" s="1"/>
  <c r="P67" i="98"/>
  <c r="Q67" i="98" s="1"/>
  <c r="H19" i="81" s="1"/>
  <c r="AE122" i="85" a="1"/>
  <c r="AE122" i="85" s="1"/>
  <c r="S122" i="85" s="1"/>
  <c r="D54" i="118"/>
  <c r="L38" i="79"/>
  <c r="K37" i="79"/>
  <c r="K14" i="79"/>
  <c r="L14" i="79"/>
  <c r="L37" i="79"/>
  <c r="W33" i="106"/>
  <c r="R33" i="106"/>
  <c r="I22" i="80"/>
  <c r="I23" i="80"/>
  <c r="I25" i="80" s="1"/>
  <c r="L22" i="80"/>
  <c r="L23" i="80"/>
  <c r="J22" i="80"/>
  <c r="J23" i="80"/>
  <c r="K22" i="80"/>
  <c r="K23" i="80"/>
  <c r="D78" i="116" a="1"/>
  <c r="D78" i="116" s="1"/>
  <c r="H35" i="80" s="1"/>
  <c r="AK71" i="116"/>
  <c r="AK70" i="116"/>
  <c r="D77" i="116" a="1"/>
  <c r="D77" i="116" s="1"/>
  <c r="H34" i="80" s="1"/>
  <c r="M34" i="80" s="1"/>
  <c r="D79" i="116" a="1"/>
  <c r="D79" i="116" s="1"/>
  <c r="H36" i="80" s="1"/>
  <c r="AK72" i="116"/>
  <c r="S26" i="99"/>
  <c r="R27" i="99"/>
  <c r="G10" i="80"/>
  <c r="G22" i="80"/>
  <c r="V7" i="83"/>
  <c r="V8" i="83" s="1"/>
  <c r="U8" i="83"/>
  <c r="M27" i="99"/>
  <c r="L26" i="99"/>
  <c r="J20" i="99"/>
  <c r="K21" i="99"/>
  <c r="AH122" i="85" a="1"/>
  <c r="AH122" i="85" s="1"/>
  <c r="V122" i="85" s="1"/>
  <c r="AL122" i="85" a="1"/>
  <c r="AL122" i="85" s="1"/>
  <c r="BK122" i="85" s="1"/>
  <c r="AI122" i="85" a="1"/>
  <c r="AI122" i="85" s="1"/>
  <c r="W122" i="85" s="1"/>
  <c r="AF122" i="85" a="1"/>
  <c r="AF122" i="85" s="1"/>
  <c r="T122" i="85" s="1"/>
  <c r="AO122" i="85" a="1"/>
  <c r="AO122" i="85" s="1"/>
  <c r="BN122" i="85" s="1"/>
  <c r="AN122" i="85" a="1"/>
  <c r="AN122" i="85" s="1"/>
  <c r="AK122" i="85" a="1"/>
  <c r="AK122" i="85" s="1"/>
  <c r="BJ122" i="85" s="1"/>
  <c r="AH9" i="106"/>
  <c r="AG9" i="106" s="1"/>
  <c r="AM122" i="85" a="1"/>
  <c r="AM122" i="85" s="1"/>
  <c r="AA122" i="85" s="1"/>
  <c r="AJ122" i="85" a="1"/>
  <c r="AJ122" i="85" s="1"/>
  <c r="BI122" i="85" s="1"/>
  <c r="AG122" i="85" a="1"/>
  <c r="AG122" i="85" s="1"/>
  <c r="U122" i="85" s="1"/>
  <c r="D35" i="106"/>
  <c r="F12" i="79"/>
  <c r="AF128" i="85" a="1"/>
  <c r="AF128" i="85" s="1"/>
  <c r="BE128" i="85" s="1"/>
  <c r="X14" i="106"/>
  <c r="AM118" i="85" a="1"/>
  <c r="AM118" i="85" s="1"/>
  <c r="BL118" i="85" s="1"/>
  <c r="X22" i="106"/>
  <c r="AF118" i="85" a="1"/>
  <c r="AF118" i="85" s="1"/>
  <c r="BE118" i="85" s="1"/>
  <c r="S14" i="79"/>
  <c r="AN118" i="85" a="1"/>
  <c r="AN118" i="85" s="1"/>
  <c r="AB118" i="85" s="1"/>
  <c r="AO118" i="85" a="1"/>
  <c r="AO118" i="85" s="1"/>
  <c r="AC118" i="85" s="1"/>
  <c r="BJ118" i="85"/>
  <c r="AD118" i="85" a="1"/>
  <c r="AD118" i="85" s="1"/>
  <c r="AL118" i="85" a="1"/>
  <c r="AL118" i="85" s="1"/>
  <c r="AG118" i="85" a="1"/>
  <c r="AG118" i="85" s="1"/>
  <c r="U118" i="85" s="1"/>
  <c r="AJ118" i="85" a="1"/>
  <c r="AJ118" i="85" s="1"/>
  <c r="AH118" i="85" a="1"/>
  <c r="AH118" i="85" s="1"/>
  <c r="V118" i="85" s="1"/>
  <c r="AI118" i="85" a="1"/>
  <c r="AI118" i="85" s="1"/>
  <c r="AE118" i="85" a="1"/>
  <c r="AE118" i="85" s="1"/>
  <c r="AM128" i="85" a="1"/>
  <c r="AM128" i="85" s="1"/>
  <c r="AA128" i="85" s="1"/>
  <c r="AD128" i="85" a="1"/>
  <c r="AD128" i="85" s="1"/>
  <c r="BC128" i="85" s="1"/>
  <c r="AJ128" i="85" a="1"/>
  <c r="AJ128" i="85" s="1"/>
  <c r="BI128" i="85" s="1"/>
  <c r="AN128" i="85" a="1"/>
  <c r="AN128" i="85" s="1"/>
  <c r="AB128" i="85" s="1"/>
  <c r="AI128" i="85" a="1"/>
  <c r="AI128" i="85" s="1"/>
  <c r="W128" i="85" s="1"/>
  <c r="AL128" i="85" a="1"/>
  <c r="AL128" i="85" s="1"/>
  <c r="BK128" i="85" s="1"/>
  <c r="AE128" i="85" a="1"/>
  <c r="AE128" i="85" s="1"/>
  <c r="S128" i="85" s="1"/>
  <c r="AH128" i="85" a="1"/>
  <c r="AH128" i="85" s="1"/>
  <c r="BG128" i="85" s="1"/>
  <c r="AG128" i="85" a="1"/>
  <c r="AG128" i="85" s="1"/>
  <c r="U128" i="85" s="1"/>
  <c r="AO128" i="85" a="1"/>
  <c r="AO128" i="85" s="1"/>
  <c r="AC128" i="85" s="1"/>
  <c r="R4" i="88"/>
  <c r="AX9" i="78" s="1"/>
  <c r="T78" i="85" s="1"/>
  <c r="AH17" i="106"/>
  <c r="AG17" i="106" s="1"/>
  <c r="AH18" i="106"/>
  <c r="AG18" i="106" s="1"/>
  <c r="AH15" i="106"/>
  <c r="P15" i="106" s="1"/>
  <c r="T15" i="106" s="1"/>
  <c r="R17" i="88"/>
  <c r="AX22" i="78" s="1"/>
  <c r="T76" i="85" s="1"/>
  <c r="AG22" i="106"/>
  <c r="P22" i="106"/>
  <c r="T22" i="106" s="1"/>
  <c r="O22" i="106"/>
  <c r="S22" i="106" s="1"/>
  <c r="AH16" i="106"/>
  <c r="AG16" i="106" s="1"/>
  <c r="AH11" i="106"/>
  <c r="AG11" i="106" s="1"/>
  <c r="P21" i="106"/>
  <c r="T21" i="106" s="1"/>
  <c r="O21" i="106"/>
  <c r="S21" i="106" s="1"/>
  <c r="P14" i="106"/>
  <c r="T14" i="106" s="1"/>
  <c r="O14" i="106"/>
  <c r="S14" i="106" s="1"/>
  <c r="AG14" i="106"/>
  <c r="AG12" i="106"/>
  <c r="P12" i="106"/>
  <c r="T12" i="106" s="1"/>
  <c r="O12" i="106"/>
  <c r="S12" i="106" s="1"/>
  <c r="W22" i="106"/>
  <c r="P20" i="106"/>
  <c r="T20" i="106" s="1"/>
  <c r="O20" i="106"/>
  <c r="S20" i="106" s="1"/>
  <c r="J14" i="79"/>
  <c r="N32" i="106"/>
  <c r="AF26" i="78"/>
  <c r="W14" i="106"/>
  <c r="BJ100" i="85"/>
  <c r="BE114" i="85"/>
  <c r="O16" i="110"/>
  <c r="BK104" i="85"/>
  <c r="H18" i="110"/>
  <c r="I18" i="106" s="1"/>
  <c r="X18" i="106" s="1"/>
  <c r="H19" i="110"/>
  <c r="I19" i="106" s="1"/>
  <c r="X19" i="106" s="1"/>
  <c r="O11" i="110"/>
  <c r="BK114" i="85"/>
  <c r="M18" i="110"/>
  <c r="J18" i="106" s="1"/>
  <c r="M19" i="110"/>
  <c r="J19" i="106" s="1"/>
  <c r="BE111" i="85"/>
  <c r="O17" i="110"/>
  <c r="BK105" i="85"/>
  <c r="BJ103" i="85"/>
  <c r="BE109" i="85"/>
  <c r="J16" i="110"/>
  <c r="K16" i="106" s="1"/>
  <c r="BF104" i="85"/>
  <c r="I18" i="110"/>
  <c r="I19" i="110"/>
  <c r="O9" i="110"/>
  <c r="BK112" i="85"/>
  <c r="O20" i="110"/>
  <c r="BK106" i="85"/>
  <c r="J21" i="110"/>
  <c r="K21" i="106" s="1"/>
  <c r="BF108" i="85"/>
  <c r="BK113" i="85"/>
  <c r="BJ111" i="85"/>
  <c r="BE100" i="85"/>
  <c r="BK107" i="85"/>
  <c r="BJ101" i="85"/>
  <c r="N13" i="106"/>
  <c r="N16" i="106"/>
  <c r="N15" i="106"/>
  <c r="N18" i="106"/>
  <c r="N17" i="106"/>
  <c r="N11" i="106"/>
  <c r="AH13" i="106"/>
  <c r="N12" i="106"/>
  <c r="R12" i="106" s="1"/>
  <c r="R85" i="92"/>
  <c r="R91" i="92" s="1"/>
  <c r="R88" i="92"/>
  <c r="S71" i="92"/>
  <c r="R84" i="92"/>
  <c r="R90" i="92" s="1"/>
  <c r="G89" i="92"/>
  <c r="H83" i="92"/>
  <c r="R15" i="88"/>
  <c r="AX20" i="78" s="1"/>
  <c r="T72" i="85" s="1"/>
  <c r="R13" i="88"/>
  <c r="S9" i="88"/>
  <c r="T9" i="88" s="1"/>
  <c r="X33" i="106"/>
  <c r="R10" i="88"/>
  <c r="S10" i="88" s="1"/>
  <c r="J33" i="106"/>
  <c r="X16" i="106"/>
  <c r="X32" i="106"/>
  <c r="AF10" i="106"/>
  <c r="AA10" i="106"/>
  <c r="AF19" i="106"/>
  <c r="AA19" i="106"/>
  <c r="AW14" i="78"/>
  <c r="S68" i="85" s="1"/>
  <c r="AZ27" i="78"/>
  <c r="U87" i="85"/>
  <c r="BC30" i="78"/>
  <c r="X93" i="85"/>
  <c r="AZ19" i="78"/>
  <c r="U14" i="88"/>
  <c r="AZ26" i="78"/>
  <c r="U83" i="85"/>
  <c r="T82" i="85"/>
  <c r="AY29" i="78"/>
  <c r="AW10" i="78"/>
  <c r="S79" i="85" s="1"/>
  <c r="Q18" i="88"/>
  <c r="X17" i="106"/>
  <c r="W8" i="85"/>
  <c r="O103" i="85" s="1"/>
  <c r="R15" i="78" s="1"/>
  <c r="Q9" i="86"/>
  <c r="R9" i="86" s="1"/>
  <c r="Q10" i="86"/>
  <c r="R10" i="86" s="1"/>
  <c r="Q31" i="86"/>
  <c r="R31" i="86" s="1"/>
  <c r="W12" i="85"/>
  <c r="O107" i="85" s="1"/>
  <c r="R18" i="78" s="1"/>
  <c r="W11" i="85"/>
  <c r="O106" i="85" s="1"/>
  <c r="R20" i="78" s="1"/>
  <c r="Q5" i="86"/>
  <c r="W10" i="85"/>
  <c r="O105" i="85" s="1"/>
  <c r="R17" i="78" s="1"/>
  <c r="Q14" i="86"/>
  <c r="R14" i="86" s="1"/>
  <c r="W15" i="85"/>
  <c r="O110" i="85" s="1"/>
  <c r="R22" i="78" s="1"/>
  <c r="W14" i="85"/>
  <c r="O109" i="85" s="1"/>
  <c r="Q16" i="86"/>
  <c r="R16" i="86" s="1"/>
  <c r="W30" i="85"/>
  <c r="O112" i="85" s="1"/>
  <c r="R9" i="78" s="1"/>
  <c r="W6" i="85"/>
  <c r="O101" i="85" s="1"/>
  <c r="R13" i="78" s="1"/>
  <c r="Q32" i="86"/>
  <c r="R32" i="86" s="1"/>
  <c r="Q11" i="86"/>
  <c r="R11" i="86" s="1"/>
  <c r="W31" i="85"/>
  <c r="O113" i="85" s="1"/>
  <c r="R10" i="78" s="1"/>
  <c r="Q12" i="86"/>
  <c r="R12" i="86" s="1"/>
  <c r="W13" i="85"/>
  <c r="O108" i="85" s="1"/>
  <c r="R21" i="78" s="1"/>
  <c r="W5" i="85"/>
  <c r="Q13" i="86"/>
  <c r="R13" i="86" s="1"/>
  <c r="Q6" i="86"/>
  <c r="R6" i="86" s="1"/>
  <c r="W7" i="85"/>
  <c r="O102" i="85" s="1"/>
  <c r="R14" i="78" s="1"/>
  <c r="W9" i="85"/>
  <c r="O104" i="85" s="1"/>
  <c r="R16" i="78" s="1"/>
  <c r="Q15" i="86"/>
  <c r="R15" i="86" s="1"/>
  <c r="Q7" i="86"/>
  <c r="R7" i="86" s="1"/>
  <c r="Q8" i="86"/>
  <c r="R8" i="86" s="1"/>
  <c r="Q30" i="86"/>
  <c r="R30" i="86" s="1"/>
  <c r="W32" i="85"/>
  <c r="O114" i="85" s="1"/>
  <c r="R11" i="78" s="1"/>
  <c r="AW16" i="78"/>
  <c r="S70" i="85" s="1"/>
  <c r="R11" i="88"/>
  <c r="S72" i="86"/>
  <c r="T72" i="86"/>
  <c r="O72" i="86"/>
  <c r="AW17" i="78"/>
  <c r="S71" i="85" s="1"/>
  <c r="R12" i="88"/>
  <c r="AW21" i="78"/>
  <c r="S74" i="85" s="1"/>
  <c r="R16" i="88"/>
  <c r="R122" i="85"/>
  <c r="BC122" i="85"/>
  <c r="X13" i="106"/>
  <c r="BJ128" i="85"/>
  <c r="Y128" i="85"/>
  <c r="K36" i="79"/>
  <c r="K35" i="79"/>
  <c r="K34" i="79"/>
  <c r="K33" i="79" s="1"/>
  <c r="K32" i="79" s="1"/>
  <c r="AW13" i="78"/>
  <c r="S67" i="85" s="1"/>
  <c r="R8" i="88"/>
  <c r="X15" i="106"/>
  <c r="BE122" i="85"/>
  <c r="X11" i="106"/>
  <c r="X21" i="106"/>
  <c r="W21" i="106"/>
  <c r="AC122" i="85"/>
  <c r="AW11" i="78"/>
  <c r="S80" i="85" s="1"/>
  <c r="R6" i="88"/>
  <c r="R5" i="88"/>
  <c r="BM122" i="85"/>
  <c r="AB122" i="85"/>
  <c r="W20" i="106"/>
  <c r="X20" i="106"/>
  <c r="W9" i="106"/>
  <c r="X9" i="106"/>
  <c r="M105" i="98"/>
  <c r="M107" i="98" s="1"/>
  <c r="N101" i="98" s="1"/>
  <c r="O101" i="98" s="1"/>
  <c r="K22" i="78" s="1"/>
  <c r="AV10" i="78"/>
  <c r="P18" i="88"/>
  <c r="P19" i="88" s="1"/>
  <c r="AW12" i="78"/>
  <c r="S66" i="85" s="1"/>
  <c r="R7" i="88"/>
  <c r="I105" i="98"/>
  <c r="I107" i="98" s="1"/>
  <c r="J95" i="98" s="1"/>
  <c r="K95" i="98" s="1"/>
  <c r="L18" i="78" s="1"/>
  <c r="L12" i="111"/>
  <c r="V12" i="106"/>
  <c r="R66" i="85"/>
  <c r="I10" i="80"/>
  <c r="L10" i="80"/>
  <c r="K10" i="80"/>
  <c r="J10" i="80"/>
  <c r="BD122" i="85" l="1"/>
  <c r="BF110" i="85"/>
  <c r="K22" i="110" s="1"/>
  <c r="BJ102" i="85"/>
  <c r="O14" i="110" s="1"/>
  <c r="BK108" i="85"/>
  <c r="P21" i="110" s="1"/>
  <c r="BL110" i="85"/>
  <c r="Q22" i="110" s="1"/>
  <c r="BG102" i="85"/>
  <c r="L14" i="110" s="1"/>
  <c r="BF102" i="85"/>
  <c r="K14" i="110" s="1"/>
  <c r="BE101" i="85"/>
  <c r="J13" i="110" s="1"/>
  <c r="K13" i="106" s="1"/>
  <c r="BE103" i="85"/>
  <c r="J15" i="110" s="1"/>
  <c r="K15" i="106" s="1"/>
  <c r="BE107" i="85"/>
  <c r="J19" i="110" s="1"/>
  <c r="K19" i="106" s="1"/>
  <c r="BF112" i="85"/>
  <c r="K9" i="110" s="1"/>
  <c r="BG110" i="85"/>
  <c r="L22" i="110" s="1"/>
  <c r="BF106" i="85"/>
  <c r="K20" i="110" s="1"/>
  <c r="BE106" i="85"/>
  <c r="J20" i="110" s="1"/>
  <c r="K20" i="106" s="1"/>
  <c r="BF105" i="85"/>
  <c r="K17" i="110" s="1"/>
  <c r="BE105" i="85"/>
  <c r="J17" i="110" s="1"/>
  <c r="K17" i="106" s="1"/>
  <c r="BF113" i="85"/>
  <c r="J10" i="110"/>
  <c r="K10" i="106" s="1"/>
  <c r="O24" i="110"/>
  <c r="BK109" i="85"/>
  <c r="U9" i="83"/>
  <c r="L27" i="83" s="1"/>
  <c r="V9" i="83"/>
  <c r="M27" i="83" s="1"/>
  <c r="J9" i="83"/>
  <c r="BH122" i="85"/>
  <c r="Q60" i="98"/>
  <c r="H12" i="81" s="1"/>
  <c r="P73" i="98"/>
  <c r="I16" i="80"/>
  <c r="I15" i="80"/>
  <c r="K16" i="80"/>
  <c r="K15" i="80"/>
  <c r="L16" i="80"/>
  <c r="L15" i="80"/>
  <c r="G16" i="80"/>
  <c r="G15" i="80"/>
  <c r="J16" i="80"/>
  <c r="J15" i="80"/>
  <c r="BG122" i="85"/>
  <c r="W17" i="106"/>
  <c r="R17" i="106"/>
  <c r="W18" i="106"/>
  <c r="R18" i="106"/>
  <c r="W11" i="106"/>
  <c r="R11" i="106"/>
  <c r="W15" i="106"/>
  <c r="R15" i="106"/>
  <c r="O9" i="106"/>
  <c r="S9" i="106" s="1"/>
  <c r="W16" i="106"/>
  <c r="R16" i="106"/>
  <c r="W13" i="106"/>
  <c r="R13" i="106"/>
  <c r="W32" i="106"/>
  <c r="R32" i="106"/>
  <c r="L26" i="80"/>
  <c r="P9" i="106"/>
  <c r="T9" i="106" s="1"/>
  <c r="R128" i="85"/>
  <c r="Z122" i="85"/>
  <c r="Y122" i="85"/>
  <c r="M31" i="80"/>
  <c r="M36" i="80"/>
  <c r="H11" i="80"/>
  <c r="H23" i="80" s="1"/>
  <c r="M35" i="80"/>
  <c r="J26" i="80"/>
  <c r="G25" i="80"/>
  <c r="L27" i="99"/>
  <c r="K26" i="99"/>
  <c r="J21" i="99"/>
  <c r="I20" i="99"/>
  <c r="G19" i="80"/>
  <c r="G17" i="80"/>
  <c r="G18" i="80"/>
  <c r="T26" i="99"/>
  <c r="S27" i="99"/>
  <c r="X122" i="85"/>
  <c r="BF122" i="85"/>
  <c r="S4" i="88"/>
  <c r="AY9" i="78" s="1"/>
  <c r="U78" i="85" s="1"/>
  <c r="BL122" i="85"/>
  <c r="BL128" i="85"/>
  <c r="BM128" i="85"/>
  <c r="T128" i="85"/>
  <c r="X128" i="85"/>
  <c r="T118" i="85"/>
  <c r="AA118" i="85"/>
  <c r="BH128" i="85"/>
  <c r="Z128" i="85"/>
  <c r="O17" i="106"/>
  <c r="S17" i="106" s="1"/>
  <c r="BD128" i="85"/>
  <c r="BM118" i="85"/>
  <c r="BI118" i="85"/>
  <c r="X118" i="85"/>
  <c r="BH118" i="85"/>
  <c r="W118" i="85"/>
  <c r="BK118" i="85"/>
  <c r="Z118" i="85"/>
  <c r="BC118" i="85"/>
  <c r="R118" i="85"/>
  <c r="BN118" i="85"/>
  <c r="BG118" i="85"/>
  <c r="BF118" i="85"/>
  <c r="S118" i="85"/>
  <c r="BD118" i="85"/>
  <c r="V128" i="85"/>
  <c r="BF128" i="85"/>
  <c r="BN128" i="85"/>
  <c r="AG15" i="106"/>
  <c r="O15" i="106"/>
  <c r="S15" i="106" s="1"/>
  <c r="O18" i="106"/>
  <c r="S18" i="106" s="1"/>
  <c r="P18" i="106"/>
  <c r="T18" i="106" s="1"/>
  <c r="P17" i="106"/>
  <c r="T17" i="106" s="1"/>
  <c r="S17" i="88"/>
  <c r="AY22" i="78" s="1"/>
  <c r="U76" i="85" s="1"/>
  <c r="P11" i="106"/>
  <c r="T11" i="106" s="1"/>
  <c r="O11" i="106"/>
  <c r="S11" i="106" s="1"/>
  <c r="P16" i="106"/>
  <c r="T16" i="106" s="1"/>
  <c r="O16" i="106"/>
  <c r="S16" i="106" s="1"/>
  <c r="AG13" i="106"/>
  <c r="P13" i="106"/>
  <c r="T13" i="106" s="1"/>
  <c r="O13" i="106"/>
  <c r="S13" i="106" s="1"/>
  <c r="J11" i="110"/>
  <c r="K11" i="106" s="1"/>
  <c r="BF114" i="85"/>
  <c r="O12" i="110"/>
  <c r="BK100" i="85"/>
  <c r="P10" i="110"/>
  <c r="P17" i="110"/>
  <c r="P9" i="110"/>
  <c r="O13" i="110"/>
  <c r="BK101" i="85"/>
  <c r="K21" i="110"/>
  <c r="K16" i="110"/>
  <c r="J25" i="110"/>
  <c r="BF111" i="85"/>
  <c r="BL107" i="85"/>
  <c r="J24" i="110"/>
  <c r="BF109" i="85"/>
  <c r="P16" i="110"/>
  <c r="O18" i="110"/>
  <c r="O19" i="110"/>
  <c r="O15" i="110"/>
  <c r="BK103" i="85"/>
  <c r="J12" i="110"/>
  <c r="K12" i="106" s="1"/>
  <c r="BF100" i="85"/>
  <c r="O25" i="110"/>
  <c r="BK111" i="85"/>
  <c r="P20" i="110"/>
  <c r="P11" i="110"/>
  <c r="AY14" i="78"/>
  <c r="U68" i="85" s="1"/>
  <c r="AH19" i="106"/>
  <c r="AG19" i="106" s="1"/>
  <c r="AH10" i="106"/>
  <c r="AG10" i="106" s="1"/>
  <c r="N10" i="106"/>
  <c r="R10" i="106" s="1"/>
  <c r="N19" i="106"/>
  <c r="S88" i="92"/>
  <c r="S84" i="92"/>
  <c r="S90" i="92" s="1"/>
  <c r="S85" i="92"/>
  <c r="S91" i="92" s="1"/>
  <c r="H89" i="92"/>
  <c r="I83" i="92"/>
  <c r="S15" i="88"/>
  <c r="T15" i="88" s="1"/>
  <c r="S13" i="88"/>
  <c r="AX18" i="78"/>
  <c r="T73" i="85" s="1"/>
  <c r="AX15" i="78"/>
  <c r="T69" i="85" s="1"/>
  <c r="N90" i="98"/>
  <c r="O90" i="98" s="1"/>
  <c r="K23" i="78" s="1"/>
  <c r="N97" i="98"/>
  <c r="O97" i="98" s="1"/>
  <c r="K20" i="78" s="1"/>
  <c r="J90" i="98"/>
  <c r="K90" i="98" s="1"/>
  <c r="L23" i="78" s="1"/>
  <c r="N99" i="98"/>
  <c r="O99" i="98" s="1"/>
  <c r="K25" i="78" s="1"/>
  <c r="N83" i="98"/>
  <c r="O83" i="98" s="1"/>
  <c r="K27" i="78" s="1"/>
  <c r="AZ29" i="78"/>
  <c r="U82" i="85"/>
  <c r="BA26" i="78"/>
  <c r="V83" i="85"/>
  <c r="J100" i="98"/>
  <c r="K100" i="98" s="1"/>
  <c r="L24" i="78" s="1"/>
  <c r="BA19" i="78"/>
  <c r="M19" i="111" s="1"/>
  <c r="N19" i="111" s="1"/>
  <c r="J19" i="111" s="1"/>
  <c r="V14" i="88"/>
  <c r="BD30" i="78"/>
  <c r="Y93" i="85"/>
  <c r="BA27" i="78"/>
  <c r="V87" i="85"/>
  <c r="N94" i="98"/>
  <c r="O94" i="98" s="1"/>
  <c r="K17" i="78" s="1"/>
  <c r="N91" i="98"/>
  <c r="O91" i="98" s="1"/>
  <c r="K15" i="78" s="1"/>
  <c r="AX16" i="78"/>
  <c r="T70" i="85" s="1"/>
  <c r="S11" i="88"/>
  <c r="S21" i="78"/>
  <c r="H21" i="106"/>
  <c r="AF21" i="78"/>
  <c r="G21" i="110"/>
  <c r="Q33" i="86"/>
  <c r="R5" i="86"/>
  <c r="S20" i="78"/>
  <c r="AF20" i="78"/>
  <c r="H20" i="106"/>
  <c r="G20" i="110"/>
  <c r="S11" i="78"/>
  <c r="G11" i="110"/>
  <c r="H11" i="106"/>
  <c r="AF11" i="78"/>
  <c r="G10" i="110"/>
  <c r="AF10" i="78"/>
  <c r="S10" i="78"/>
  <c r="H10" i="106"/>
  <c r="G18" i="110"/>
  <c r="R19" i="78"/>
  <c r="H18" i="106"/>
  <c r="AF18" i="78"/>
  <c r="S18" i="78"/>
  <c r="J82" i="98"/>
  <c r="K82" i="98" s="1"/>
  <c r="L30" i="78" s="1"/>
  <c r="J91" i="98"/>
  <c r="K91" i="98" s="1"/>
  <c r="L15" i="78" s="1"/>
  <c r="AX17" i="78"/>
  <c r="T71" i="85" s="1"/>
  <c r="S12" i="88"/>
  <c r="J101" i="98"/>
  <c r="K101" i="98" s="1"/>
  <c r="L22" i="78" s="1"/>
  <c r="AF13" i="78"/>
  <c r="H13" i="106"/>
  <c r="G13" i="110"/>
  <c r="S13" i="78"/>
  <c r="H9" i="106"/>
  <c r="AF9" i="78"/>
  <c r="G9" i="110"/>
  <c r="S9" i="78"/>
  <c r="AF15" i="78"/>
  <c r="H15" i="106"/>
  <c r="S15" i="78"/>
  <c r="G15" i="110"/>
  <c r="J97" i="98"/>
  <c r="K97" i="98" s="1"/>
  <c r="L20" i="78" s="1"/>
  <c r="R18" i="88"/>
  <c r="R19" i="88" s="1"/>
  <c r="G16" i="110"/>
  <c r="S16" i="78"/>
  <c r="AF16" i="78"/>
  <c r="H16" i="106"/>
  <c r="S14" i="78"/>
  <c r="G14" i="110"/>
  <c r="AF14" i="78"/>
  <c r="H14" i="106"/>
  <c r="AF22" i="78"/>
  <c r="G22" i="110"/>
  <c r="S22" i="78"/>
  <c r="H22" i="106"/>
  <c r="O100" i="85"/>
  <c r="W34" i="85"/>
  <c r="W36" i="85" s="1"/>
  <c r="G17" i="110"/>
  <c r="S17" i="78"/>
  <c r="AF17" i="78"/>
  <c r="H17" i="106"/>
  <c r="AX13" i="78"/>
  <c r="T67" i="85" s="1"/>
  <c r="S8" i="88"/>
  <c r="AY15" i="78"/>
  <c r="U69" i="85" s="1"/>
  <c r="T10" i="88"/>
  <c r="J92" i="98"/>
  <c r="K92" i="98" s="1"/>
  <c r="L11" i="78" s="1"/>
  <c r="J98" i="98"/>
  <c r="K98" i="98" s="1"/>
  <c r="L21" i="78" s="1"/>
  <c r="J86" i="98"/>
  <c r="K86" i="98" s="1"/>
  <c r="L9" i="78" s="1"/>
  <c r="J89" i="98"/>
  <c r="K89" i="98" s="1"/>
  <c r="L14" i="78" s="1"/>
  <c r="J102" i="98"/>
  <c r="K102" i="98" s="1"/>
  <c r="L29" i="78" s="1"/>
  <c r="V10" i="106"/>
  <c r="L10" i="111"/>
  <c r="R79" i="85"/>
  <c r="R115" i="85" s="1"/>
  <c r="J99" i="98"/>
  <c r="K99" i="98" s="1"/>
  <c r="L25" i="78" s="1"/>
  <c r="J85" i="98"/>
  <c r="K85" i="98" s="1"/>
  <c r="L12" i="78" s="1"/>
  <c r="N93" i="98"/>
  <c r="O93" i="98" s="1"/>
  <c r="K16" i="78" s="1"/>
  <c r="J87" i="98"/>
  <c r="K87" i="98" s="1"/>
  <c r="L13" i="78" s="1"/>
  <c r="N85" i="98"/>
  <c r="O85" i="98" s="1"/>
  <c r="K12" i="78" s="1"/>
  <c r="J93" i="98"/>
  <c r="K93" i="98" s="1"/>
  <c r="L16" i="78" s="1"/>
  <c r="AX21" i="78"/>
  <c r="T74" i="85" s="1"/>
  <c r="S16" i="88"/>
  <c r="N82" i="98"/>
  <c r="N84" i="98"/>
  <c r="O84" i="98" s="1"/>
  <c r="K28" i="78" s="1"/>
  <c r="W12" i="106"/>
  <c r="X12" i="106"/>
  <c r="AX12" i="78"/>
  <c r="T66" i="85" s="1"/>
  <c r="S7" i="88"/>
  <c r="N92" i="98"/>
  <c r="O92" i="98" s="1"/>
  <c r="K11" i="78" s="1"/>
  <c r="S84" i="98"/>
  <c r="Q93" i="98"/>
  <c r="Q95" i="98"/>
  <c r="S94" i="98"/>
  <c r="J17" i="78" s="1"/>
  <c r="Q102" i="98"/>
  <c r="Q100" i="98"/>
  <c r="Q98" i="98"/>
  <c r="S96" i="98"/>
  <c r="J19" i="78" s="1"/>
  <c r="S103" i="98"/>
  <c r="J26" i="78" s="1"/>
  <c r="S101" i="98"/>
  <c r="J22" i="78" s="1"/>
  <c r="S99" i="98"/>
  <c r="J25" i="78" s="1"/>
  <c r="Q92" i="98"/>
  <c r="Q82" i="98"/>
  <c r="S93" i="98"/>
  <c r="J16" i="78" s="1"/>
  <c r="Q89" i="98"/>
  <c r="Q87" i="98"/>
  <c r="Q97" i="98"/>
  <c r="Q84" i="98"/>
  <c r="S83" i="98"/>
  <c r="J27" i="78" s="1"/>
  <c r="S90" i="98"/>
  <c r="J23" i="78" s="1"/>
  <c r="S88" i="98"/>
  <c r="J10" i="78" s="1"/>
  <c r="J10" i="79" s="1"/>
  <c r="Q85" i="98"/>
  <c r="S85" i="98"/>
  <c r="J12" i="78" s="1"/>
  <c r="Q91" i="98"/>
  <c r="S98" i="98"/>
  <c r="J21" i="78" s="1"/>
  <c r="Q94" i="98"/>
  <c r="S92" i="98"/>
  <c r="J11" i="78" s="1"/>
  <c r="Q101" i="98"/>
  <c r="Q99" i="98"/>
  <c r="Q96" i="98"/>
  <c r="S95" i="98"/>
  <c r="J18" i="78" s="1"/>
  <c r="S102" i="98"/>
  <c r="J29" i="78" s="1"/>
  <c r="S100" i="98"/>
  <c r="J24" i="78" s="1"/>
  <c r="S86" i="98"/>
  <c r="J9" i="78" s="1"/>
  <c r="J9" i="79" s="1"/>
  <c r="Q83" i="98"/>
  <c r="S91" i="98"/>
  <c r="J15" i="78" s="1"/>
  <c r="S89" i="98"/>
  <c r="J14" i="78" s="1"/>
  <c r="S87" i="98"/>
  <c r="J13" i="78" s="1"/>
  <c r="S97" i="98"/>
  <c r="J20" i="78" s="1"/>
  <c r="S82" i="98"/>
  <c r="J30" i="78" s="1"/>
  <c r="Q103" i="98"/>
  <c r="Q90" i="98"/>
  <c r="Q88" i="98"/>
  <c r="N89" i="98"/>
  <c r="O89" i="98" s="1"/>
  <c r="K14" i="78" s="1"/>
  <c r="Q86" i="98"/>
  <c r="N98" i="98"/>
  <c r="O98" i="98" s="1"/>
  <c r="K21" i="78" s="1"/>
  <c r="N102" i="98"/>
  <c r="O102" i="98" s="1"/>
  <c r="K29" i="78" s="1"/>
  <c r="N86" i="98"/>
  <c r="O86" i="98" s="1"/>
  <c r="K9" i="78" s="1"/>
  <c r="K9" i="79" s="1"/>
  <c r="AE115" i="85"/>
  <c r="BD115" i="85"/>
  <c r="S81" i="85"/>
  <c r="S115" i="85"/>
  <c r="J84" i="98"/>
  <c r="K84" i="98" s="1"/>
  <c r="L28" i="78" s="1"/>
  <c r="AZ14" i="78"/>
  <c r="V68" i="85" s="1"/>
  <c r="U9" i="88"/>
  <c r="J88" i="98"/>
  <c r="K88" i="98" s="1"/>
  <c r="L10" i="78" s="1"/>
  <c r="N103" i="98"/>
  <c r="O103" i="98" s="1"/>
  <c r="K26" i="78" s="1"/>
  <c r="N87" i="98"/>
  <c r="O87" i="98" s="1"/>
  <c r="K13" i="78" s="1"/>
  <c r="N95" i="98"/>
  <c r="O95" i="98" s="1"/>
  <c r="K18" i="78" s="1"/>
  <c r="N100" i="98"/>
  <c r="O100" i="98" s="1"/>
  <c r="K24" i="78" s="1"/>
  <c r="J103" i="98"/>
  <c r="K103" i="98" s="1"/>
  <c r="L26" i="78" s="1"/>
  <c r="J94" i="98"/>
  <c r="K94" i="98" s="1"/>
  <c r="L17" i="78" s="1"/>
  <c r="AX10" i="78"/>
  <c r="T79" i="85" s="1"/>
  <c r="S5" i="88"/>
  <c r="N88" i="98"/>
  <c r="O88" i="98" s="1"/>
  <c r="K10" i="78" s="1"/>
  <c r="K10" i="79" s="1"/>
  <c r="AX11" i="78"/>
  <c r="T80" i="85" s="1"/>
  <c r="S6" i="88"/>
  <c r="N96" i="98"/>
  <c r="O96" i="98" s="1"/>
  <c r="K19" i="78" s="1"/>
  <c r="J96" i="98"/>
  <c r="K96" i="98" s="1"/>
  <c r="L19" i="78" s="1"/>
  <c r="J83" i="98"/>
  <c r="K83" i="98" s="1"/>
  <c r="L27" i="78" s="1"/>
  <c r="Q19" i="88"/>
  <c r="L19" i="80"/>
  <c r="L17" i="80"/>
  <c r="L18" i="80"/>
  <c r="J17" i="80"/>
  <c r="J18" i="80"/>
  <c r="J19" i="80"/>
  <c r="K18" i="80"/>
  <c r="K19" i="80"/>
  <c r="K17" i="80"/>
  <c r="L25" i="80"/>
  <c r="I18" i="80"/>
  <c r="I19" i="80"/>
  <c r="I17" i="80"/>
  <c r="BL104" i="85" l="1"/>
  <c r="Q16" i="110" s="1"/>
  <c r="BL113" i="85"/>
  <c r="Q10" i="110" s="1"/>
  <c r="BK102" i="85"/>
  <c r="P14" i="110" s="1"/>
  <c r="BL112" i="85"/>
  <c r="Q9" i="110" s="1"/>
  <c r="BL114" i="85"/>
  <c r="Q11" i="110" s="1"/>
  <c r="BL108" i="85"/>
  <c r="Q21" i="110" s="1"/>
  <c r="J18" i="110"/>
  <c r="K18" i="106" s="1"/>
  <c r="BF101" i="85"/>
  <c r="K13" i="110" s="1"/>
  <c r="BG112" i="85"/>
  <c r="L9" i="110" s="1"/>
  <c r="BG104" i="85"/>
  <c r="L16" i="110" s="1"/>
  <c r="BF103" i="85"/>
  <c r="K15" i="110" s="1"/>
  <c r="BG107" i="85"/>
  <c r="L19" i="110" s="1"/>
  <c r="BF107" i="85"/>
  <c r="K19" i="110" s="1"/>
  <c r="BG108" i="85"/>
  <c r="L21" i="110" s="1"/>
  <c r="BL106" i="85"/>
  <c r="Q20" i="110" s="1"/>
  <c r="BG106" i="85"/>
  <c r="L20" i="110" s="1"/>
  <c r="BL105" i="85"/>
  <c r="Q17" i="110" s="1"/>
  <c r="BG105" i="85"/>
  <c r="L17" i="110" s="1"/>
  <c r="K10" i="110"/>
  <c r="P24" i="110"/>
  <c r="L9" i="83"/>
  <c r="K9" i="83"/>
  <c r="W19" i="106"/>
  <c r="R19" i="106"/>
  <c r="T4" i="88"/>
  <c r="AZ9" i="78" s="1"/>
  <c r="V78" i="85" s="1"/>
  <c r="H22" i="80"/>
  <c r="H25" i="80" s="1"/>
  <c r="N25" i="80" s="1"/>
  <c r="O25" i="80" s="1"/>
  <c r="K25" i="80" s="1"/>
  <c r="H10" i="80"/>
  <c r="H43" i="80"/>
  <c r="H41" i="80"/>
  <c r="M30" i="80"/>
  <c r="H42" i="80"/>
  <c r="H44" i="80"/>
  <c r="H40" i="80"/>
  <c r="U26" i="99"/>
  <c r="U27" i="99" s="1"/>
  <c r="T27" i="99"/>
  <c r="I21" i="99"/>
  <c r="H20" i="99"/>
  <c r="K27" i="99"/>
  <c r="J26" i="99"/>
  <c r="W83" i="85"/>
  <c r="BB26" i="78"/>
  <c r="X83" i="85" s="1"/>
  <c r="T17" i="88"/>
  <c r="AZ22" i="78" s="1"/>
  <c r="V76" i="85" s="1"/>
  <c r="P10" i="106"/>
  <c r="T10" i="106" s="1"/>
  <c r="O10" i="106"/>
  <c r="S10" i="106" s="1"/>
  <c r="P19" i="106"/>
  <c r="T19" i="106" s="1"/>
  <c r="O19" i="106"/>
  <c r="S19" i="106" s="1"/>
  <c r="AY20" i="78"/>
  <c r="U72" i="85" s="1"/>
  <c r="P12" i="110"/>
  <c r="K11" i="110"/>
  <c r="K12" i="110"/>
  <c r="K24" i="110"/>
  <c r="K25" i="110"/>
  <c r="P15" i="110"/>
  <c r="Q18" i="110"/>
  <c r="Q19" i="110"/>
  <c r="P18" i="110"/>
  <c r="P19" i="110"/>
  <c r="P25" i="110"/>
  <c r="P13" i="110"/>
  <c r="I89" i="92"/>
  <c r="J83" i="92"/>
  <c r="T13" i="88"/>
  <c r="AY18" i="78"/>
  <c r="U73" i="85" s="1"/>
  <c r="V7" i="106"/>
  <c r="BC115" i="85"/>
  <c r="R81" i="85"/>
  <c r="R132" i="85" s="1"/>
  <c r="AD115" i="85"/>
  <c r="BB27" i="78"/>
  <c r="W87" i="85"/>
  <c r="BE30" i="78"/>
  <c r="Z93" i="85"/>
  <c r="S18" i="88"/>
  <c r="S19" i="88" s="1"/>
  <c r="BB19" i="78"/>
  <c r="W14" i="88"/>
  <c r="BA29" i="78"/>
  <c r="V82" i="85"/>
  <c r="O115" i="85"/>
  <c r="R12" i="78"/>
  <c r="AG13" i="78"/>
  <c r="T13" i="78"/>
  <c r="AH13" i="78" s="1"/>
  <c r="AF19" i="78"/>
  <c r="H19" i="106"/>
  <c r="G19" i="110"/>
  <c r="S19" i="78"/>
  <c r="AG22" i="78"/>
  <c r="T22" i="78"/>
  <c r="AH22" i="78" s="1"/>
  <c r="AG20" i="78"/>
  <c r="T20" i="78"/>
  <c r="AH20" i="78" s="1"/>
  <c r="T10" i="78"/>
  <c r="AH10" i="78" s="1"/>
  <c r="AG10" i="78"/>
  <c r="AG15" i="78"/>
  <c r="T15" i="78"/>
  <c r="AH15" i="78" s="1"/>
  <c r="T12" i="88"/>
  <c r="AY17" i="78"/>
  <c r="U71" i="85" s="1"/>
  <c r="AG14" i="78"/>
  <c r="T14" i="78"/>
  <c r="AH14" i="78" s="1"/>
  <c r="AG9" i="78"/>
  <c r="T9" i="78"/>
  <c r="AH9" i="78" s="1"/>
  <c r="T21" i="78"/>
  <c r="AH21" i="78" s="1"/>
  <c r="AG21" i="78"/>
  <c r="T17" i="78"/>
  <c r="AH17" i="78" s="1"/>
  <c r="AG17" i="78"/>
  <c r="T11" i="88"/>
  <c r="AY16" i="78"/>
  <c r="U70" i="85" s="1"/>
  <c r="AG18" i="78"/>
  <c r="T18" i="78"/>
  <c r="AH18" i="78" s="1"/>
  <c r="AG11" i="78"/>
  <c r="T11" i="78"/>
  <c r="AH11" i="78" s="1"/>
  <c r="T16" i="78"/>
  <c r="AH16" i="78" s="1"/>
  <c r="AG16" i="78"/>
  <c r="N105" i="98"/>
  <c r="O82" i="98"/>
  <c r="K30" i="78" s="1"/>
  <c r="P105" i="98"/>
  <c r="X10" i="106"/>
  <c r="W10" i="106"/>
  <c r="BD132" i="85"/>
  <c r="S132" i="85"/>
  <c r="AY11" i="78"/>
  <c r="U80" i="85" s="1"/>
  <c r="T6" i="88"/>
  <c r="AY12" i="78"/>
  <c r="U66" i="85" s="1"/>
  <c r="T7" i="88"/>
  <c r="AY21" i="78"/>
  <c r="U74" i="85" s="1"/>
  <c r="T16" i="88"/>
  <c r="T115" i="85"/>
  <c r="BE115" i="85"/>
  <c r="T81" i="85"/>
  <c r="AF115" i="85"/>
  <c r="Q105" i="98"/>
  <c r="J105" i="98"/>
  <c r="BA14" i="78"/>
  <c r="V9" i="88"/>
  <c r="AZ20" i="78"/>
  <c r="V72" i="85" s="1"/>
  <c r="U15" i="88"/>
  <c r="U10" i="88"/>
  <c r="AZ15" i="78"/>
  <c r="V69" i="85" s="1"/>
  <c r="AY10" i="78"/>
  <c r="U79" i="85" s="1"/>
  <c r="T5" i="88"/>
  <c r="AY13" i="78"/>
  <c r="U67" i="85" s="1"/>
  <c r="T8" i="88"/>
  <c r="K18" i="110" l="1"/>
  <c r="L18" i="110"/>
  <c r="BL100" i="85"/>
  <c r="Q12" i="110" s="1"/>
  <c r="BL101" i="85"/>
  <c r="Q13" i="110" s="1"/>
  <c r="BL102" i="85"/>
  <c r="Q14" i="110" s="1"/>
  <c r="BL103" i="85"/>
  <c r="Q15" i="110" s="1"/>
  <c r="BG100" i="85"/>
  <c r="L12" i="110" s="1"/>
  <c r="BG101" i="85"/>
  <c r="L13" i="110" s="1"/>
  <c r="BG114" i="85"/>
  <c r="L11" i="110" s="1"/>
  <c r="BG103" i="85"/>
  <c r="L15" i="110" s="1"/>
  <c r="BG113" i="85"/>
  <c r="L10" i="110" s="1"/>
  <c r="BL111" i="85"/>
  <c r="Q25" i="110" s="1"/>
  <c r="BG111" i="85"/>
  <c r="L25" i="110" s="1"/>
  <c r="BL109" i="85"/>
  <c r="Q24" i="110" s="1"/>
  <c r="BG109" i="85"/>
  <c r="L24" i="110" s="1"/>
  <c r="H16" i="80"/>
  <c r="H15" i="80"/>
  <c r="U4" i="88"/>
  <c r="V4" i="88" s="1"/>
  <c r="H19" i="80"/>
  <c r="H17" i="80"/>
  <c r="H18" i="80"/>
  <c r="H21" i="99"/>
  <c r="G20" i="99"/>
  <c r="J27" i="99"/>
  <c r="I26" i="99"/>
  <c r="U17" i="88"/>
  <c r="V17" i="88" s="1"/>
  <c r="BB22" i="78" s="1"/>
  <c r="X76" i="85" s="1"/>
  <c r="BC132" i="85"/>
  <c r="J89" i="92"/>
  <c r="K83" i="92"/>
  <c r="AZ18" i="78"/>
  <c r="V73" i="85" s="1"/>
  <c r="U13" i="88"/>
  <c r="W7" i="106"/>
  <c r="W6" i="106" s="1"/>
  <c r="BB29" i="78"/>
  <c r="W82" i="85"/>
  <c r="BC19" i="78"/>
  <c r="X14" i="88"/>
  <c r="BF30" i="78"/>
  <c r="AA93" i="85"/>
  <c r="BC27" i="78"/>
  <c r="X87" i="85"/>
  <c r="X7" i="106"/>
  <c r="T19" i="78"/>
  <c r="AH19" i="78" s="1"/>
  <c r="AG19" i="78"/>
  <c r="AZ17" i="78"/>
  <c r="V71" i="85" s="1"/>
  <c r="U12" i="88"/>
  <c r="AZ16" i="78"/>
  <c r="V70" i="85" s="1"/>
  <c r="U11" i="88"/>
  <c r="AF12" i="78"/>
  <c r="S12" i="78"/>
  <c r="G12" i="110"/>
  <c r="H12" i="106"/>
  <c r="U81" i="85"/>
  <c r="AG115" i="85"/>
  <c r="BF115" i="85"/>
  <c r="U115" i="85"/>
  <c r="AZ11" i="78"/>
  <c r="V80" i="85" s="1"/>
  <c r="U6" i="88"/>
  <c r="BA15" i="78"/>
  <c r="V10" i="88"/>
  <c r="V15" i="88"/>
  <c r="BA20" i="78"/>
  <c r="BE132" i="85"/>
  <c r="T132" i="85"/>
  <c r="AZ10" i="78"/>
  <c r="V79" i="85" s="1"/>
  <c r="U5" i="88"/>
  <c r="BA9" i="78"/>
  <c r="AZ13" i="78"/>
  <c r="V67" i="85" s="1"/>
  <c r="U8" i="88"/>
  <c r="W9" i="88"/>
  <c r="BB14" i="78"/>
  <c r="X68" i="85" s="1"/>
  <c r="T18" i="88"/>
  <c r="T19" i="88" s="1"/>
  <c r="W68" i="85"/>
  <c r="M14" i="111"/>
  <c r="AZ21" i="78"/>
  <c r="V74" i="85" s="1"/>
  <c r="U16" i="88"/>
  <c r="AZ12" i="78"/>
  <c r="V66" i="85" s="1"/>
  <c r="U7" i="88"/>
  <c r="W17" i="88" l="1"/>
  <c r="F20" i="99"/>
  <c r="G21" i="99"/>
  <c r="H26" i="99"/>
  <c r="I27" i="99"/>
  <c r="BA22" i="78"/>
  <c r="W76" i="85" s="1"/>
  <c r="K89" i="92"/>
  <c r="L83" i="92"/>
  <c r="BA18" i="78"/>
  <c r="V13" i="88"/>
  <c r="U18" i="88"/>
  <c r="U19" i="88" s="1"/>
  <c r="Y87" i="85"/>
  <c r="BD27" i="78"/>
  <c r="BG30" i="78"/>
  <c r="AB93" i="85"/>
  <c r="Y14" i="88"/>
  <c r="BD19" i="78"/>
  <c r="BC29" i="78"/>
  <c r="X82" i="85"/>
  <c r="T12" i="78"/>
  <c r="AH12" i="78" s="1"/>
  <c r="AG12" i="78"/>
  <c r="BA16" i="78"/>
  <c r="V11" i="88"/>
  <c r="V12" i="88"/>
  <c r="BA17" i="78"/>
  <c r="V16" i="88"/>
  <c r="BA21" i="78"/>
  <c r="BB15" i="78"/>
  <c r="X69" i="85" s="1"/>
  <c r="W10" i="88"/>
  <c r="M9" i="111"/>
  <c r="W78" i="85"/>
  <c r="N14" i="111"/>
  <c r="J14" i="111" s="1"/>
  <c r="BA10" i="78"/>
  <c r="V5" i="88"/>
  <c r="X17" i="88"/>
  <c r="BC22" i="78"/>
  <c r="Y76" i="85" s="1"/>
  <c r="BA11" i="78"/>
  <c r="V6" i="88"/>
  <c r="X9" i="88"/>
  <c r="BC14" i="78"/>
  <c r="Y68" i="85" s="1"/>
  <c r="BA13" i="78"/>
  <c r="V8" i="88"/>
  <c r="M15" i="111"/>
  <c r="W69" i="85"/>
  <c r="BA12" i="78"/>
  <c r="V7" i="88"/>
  <c r="W72" i="85"/>
  <c r="M20" i="111"/>
  <c r="V81" i="85"/>
  <c r="V115" i="85"/>
  <c r="AH115" i="85"/>
  <c r="BG115" i="85"/>
  <c r="BB20" i="78"/>
  <c r="X72" i="85" s="1"/>
  <c r="W15" i="88"/>
  <c r="BF132" i="85"/>
  <c r="U132" i="85"/>
  <c r="BB9" i="78"/>
  <c r="X78" i="85" s="1"/>
  <c r="W4" i="88"/>
  <c r="M22" i="111" l="1"/>
  <c r="N22" i="111" s="1"/>
  <c r="J22" i="111" s="1"/>
  <c r="G26" i="99"/>
  <c r="H27" i="99"/>
  <c r="F21" i="99"/>
  <c r="E20" i="99"/>
  <c r="L89" i="92"/>
  <c r="M83" i="92"/>
  <c r="BB18" i="78"/>
  <c r="X73" i="85" s="1"/>
  <c r="W13" i="88"/>
  <c r="M18" i="111"/>
  <c r="N18" i="111" s="1"/>
  <c r="J18" i="111" s="1"/>
  <c r="W73" i="85"/>
  <c r="BD29" i="78"/>
  <c r="Y82" i="85"/>
  <c r="BE19" i="78"/>
  <c r="Z14" i="88"/>
  <c r="BH30" i="78"/>
  <c r="BI30" i="78" s="1"/>
  <c r="BJ30" i="78" s="1"/>
  <c r="BK30" i="78" s="1"/>
  <c r="BL30" i="78" s="1"/>
  <c r="BM30" i="78" s="1"/>
  <c r="BN30" i="78" s="1"/>
  <c r="BO30" i="78" s="1"/>
  <c r="BP30" i="78" s="1"/>
  <c r="AC93" i="85"/>
  <c r="BE27" i="78"/>
  <c r="Z87" i="85"/>
  <c r="W71" i="85"/>
  <c r="M17" i="111"/>
  <c r="W12" i="88"/>
  <c r="BB17" i="78"/>
  <c r="X71" i="85" s="1"/>
  <c r="W11" i="88"/>
  <c r="BB16" i="78"/>
  <c r="X70" i="85" s="1"/>
  <c r="V18" i="88"/>
  <c r="V19" i="88" s="1"/>
  <c r="M16" i="111"/>
  <c r="N16" i="111" s="1"/>
  <c r="J16" i="111" s="1"/>
  <c r="W70" i="85"/>
  <c r="BC9" i="78"/>
  <c r="Y78" i="85" s="1"/>
  <c r="X4" i="88"/>
  <c r="N20" i="111"/>
  <c r="J20" i="111" s="1"/>
  <c r="BB12" i="78"/>
  <c r="X66" i="85" s="1"/>
  <c r="W7" i="88"/>
  <c r="N15" i="111"/>
  <c r="J15" i="111" s="1"/>
  <c r="BC20" i="78"/>
  <c r="Y72" i="85" s="1"/>
  <c r="X15" i="88"/>
  <c r="BB13" i="78"/>
  <c r="X67" i="85" s="1"/>
  <c r="W8" i="88"/>
  <c r="M12" i="111"/>
  <c r="W66" i="85"/>
  <c r="M13" i="111"/>
  <c r="W67" i="85"/>
  <c r="N9" i="111"/>
  <c r="J9" i="111" s="1"/>
  <c r="BB10" i="78"/>
  <c r="X79" i="85" s="1"/>
  <c r="W5" i="88"/>
  <c r="M10" i="111"/>
  <c r="W79" i="85"/>
  <c r="X10" i="88"/>
  <c r="BC15" i="78"/>
  <c r="Y69" i="85" s="1"/>
  <c r="Y17" i="88"/>
  <c r="BD22" i="78"/>
  <c r="Z76" i="85" s="1"/>
  <c r="BD14" i="78"/>
  <c r="Z68" i="85" s="1"/>
  <c r="Y9" i="88"/>
  <c r="W6" i="88"/>
  <c r="BB11" i="78"/>
  <c r="X80" i="85" s="1"/>
  <c r="M21" i="111"/>
  <c r="W74" i="85"/>
  <c r="BG132" i="85"/>
  <c r="V132" i="85"/>
  <c r="W80" i="85"/>
  <c r="M11" i="111"/>
  <c r="BB21" i="78"/>
  <c r="X74" i="85" s="1"/>
  <c r="W16" i="88"/>
  <c r="BU30" i="78" l="1"/>
  <c r="BQ30" i="78"/>
  <c r="E21" i="99"/>
  <c r="D20" i="99"/>
  <c r="G27" i="99"/>
  <c r="F26" i="99"/>
  <c r="N83" i="92"/>
  <c r="M89" i="92"/>
  <c r="BC18" i="78"/>
  <c r="Y73" i="85" s="1"/>
  <c r="X13" i="88"/>
  <c r="BF27" i="78"/>
  <c r="AA87" i="85"/>
  <c r="BF19" i="78"/>
  <c r="AA14" i="88"/>
  <c r="BE29" i="78"/>
  <c r="Z82" i="85"/>
  <c r="BC16" i="78"/>
  <c r="Y70" i="85" s="1"/>
  <c r="X11" i="88"/>
  <c r="BC17" i="78"/>
  <c r="Y71" i="85" s="1"/>
  <c r="X12" i="88"/>
  <c r="N17" i="111"/>
  <c r="J17" i="111" s="1"/>
  <c r="X6" i="88"/>
  <c r="BC11" i="78"/>
  <c r="Y80" i="85" s="1"/>
  <c r="X16" i="88"/>
  <c r="BC21" i="78"/>
  <c r="Y74" i="85" s="1"/>
  <c r="N11" i="111"/>
  <c r="J11" i="111" s="1"/>
  <c r="X7" i="88"/>
  <c r="BC12" i="78"/>
  <c r="Y66" i="85" s="1"/>
  <c r="BC10" i="78"/>
  <c r="Y79" i="85" s="1"/>
  <c r="X5" i="88"/>
  <c r="Z17" i="88"/>
  <c r="BE22" i="78"/>
  <c r="AA76" i="85" s="1"/>
  <c r="N13" i="111"/>
  <c r="J13" i="111" s="1"/>
  <c r="X81" i="85"/>
  <c r="X115" i="85"/>
  <c r="AJ115" i="85"/>
  <c r="BI115" i="85"/>
  <c r="W115" i="85"/>
  <c r="AI115" i="85"/>
  <c r="BH115" i="85"/>
  <c r="W81" i="85"/>
  <c r="Z9" i="88"/>
  <c r="BE14" i="78"/>
  <c r="AA68" i="85" s="1"/>
  <c r="BD15" i="78"/>
  <c r="Z69" i="85" s="1"/>
  <c r="Y10" i="88"/>
  <c r="N12" i="111"/>
  <c r="J12" i="111" s="1"/>
  <c r="BD20" i="78"/>
  <c r="Z72" i="85" s="1"/>
  <c r="Y15" i="88"/>
  <c r="BC13" i="78"/>
  <c r="Y67" i="85" s="1"/>
  <c r="X8" i="88"/>
  <c r="Y4" i="88"/>
  <c r="BD9" i="78"/>
  <c r="Z78" i="85" s="1"/>
  <c r="N21" i="111"/>
  <c r="J21" i="111" s="1"/>
  <c r="N10" i="111"/>
  <c r="J10" i="111" s="1"/>
  <c r="W18" i="88"/>
  <c r="W19" i="88" s="1"/>
  <c r="BV30" i="78" l="1"/>
  <c r="BR30" i="78"/>
  <c r="D21" i="99"/>
  <c r="C20" i="99"/>
  <c r="F27" i="99"/>
  <c r="E26" i="99"/>
  <c r="N89" i="92"/>
  <c r="O83" i="92"/>
  <c r="Y13" i="88"/>
  <c r="BD18" i="78"/>
  <c r="Z73" i="85" s="1"/>
  <c r="BF29" i="78"/>
  <c r="AA82" i="85"/>
  <c r="BG19" i="78"/>
  <c r="AB14" i="88"/>
  <c r="BG27" i="78"/>
  <c r="AB87" i="85"/>
  <c r="Y12" i="88"/>
  <c r="BD17" i="78"/>
  <c r="Z71" i="85" s="1"/>
  <c r="Y11" i="88"/>
  <c r="BD16" i="78"/>
  <c r="Z70" i="85" s="1"/>
  <c r="BD13" i="78"/>
  <c r="Z67" i="85" s="1"/>
  <c r="Y8" i="88"/>
  <c r="BJ115" i="85"/>
  <c r="Y81" i="85"/>
  <c r="Y115" i="85"/>
  <c r="AK115" i="85"/>
  <c r="Z15" i="88"/>
  <c r="BE20" i="78"/>
  <c r="AA72" i="85" s="1"/>
  <c r="X132" i="85"/>
  <c r="BI132" i="85"/>
  <c r="BD12" i="78"/>
  <c r="Z66" i="85" s="1"/>
  <c r="Y7" i="88"/>
  <c r="BE15" i="78"/>
  <c r="AA69" i="85" s="1"/>
  <c r="Z10" i="88"/>
  <c r="Y16" i="88"/>
  <c r="BD21" i="78"/>
  <c r="Z74" i="85" s="1"/>
  <c r="BF14" i="78"/>
  <c r="AB68" i="85" s="1"/>
  <c r="AA9" i="88"/>
  <c r="BF22" i="78"/>
  <c r="AB76" i="85" s="1"/>
  <c r="AA17" i="88"/>
  <c r="X18" i="88"/>
  <c r="X19" i="88" s="1"/>
  <c r="BH132" i="85"/>
  <c r="W132" i="85"/>
  <c r="BD10" i="78"/>
  <c r="Z79" i="85" s="1"/>
  <c r="Y5" i="88"/>
  <c r="Z4" i="88"/>
  <c r="BE9" i="78"/>
  <c r="AA78" i="85" s="1"/>
  <c r="Y6" i="88"/>
  <c r="BD11" i="78"/>
  <c r="Z80" i="85" s="1"/>
  <c r="BS30" i="78" l="1"/>
  <c r="BW30" i="78"/>
  <c r="D26" i="99"/>
  <c r="E27" i="99"/>
  <c r="C21" i="99"/>
  <c r="B20" i="99"/>
  <c r="B21" i="99" s="1"/>
  <c r="O89" i="92"/>
  <c r="P83" i="92"/>
  <c r="Z13" i="88"/>
  <c r="BE18" i="78"/>
  <c r="AA73" i="85" s="1"/>
  <c r="AC87" i="85"/>
  <c r="BH27" i="78"/>
  <c r="BI27" i="78" s="1"/>
  <c r="BJ27" i="78" s="1"/>
  <c r="BK27" i="78" s="1"/>
  <c r="BL27" i="78" s="1"/>
  <c r="BM27" i="78" s="1"/>
  <c r="BN27" i="78" s="1"/>
  <c r="BO27" i="78" s="1"/>
  <c r="BP27" i="78" s="1"/>
  <c r="BH19" i="78"/>
  <c r="AC14" i="88"/>
  <c r="BG29" i="78"/>
  <c r="AB82" i="85"/>
  <c r="BE16" i="78"/>
  <c r="AA70" i="85" s="1"/>
  <c r="Z11" i="88"/>
  <c r="BE17" i="78"/>
  <c r="AA71" i="85" s="1"/>
  <c r="Z12" i="88"/>
  <c r="BG22" i="78"/>
  <c r="AC76" i="85" s="1"/>
  <c r="AB17" i="88"/>
  <c r="BE11" i="78"/>
  <c r="AA80" i="85" s="1"/>
  <c r="Z6" i="88"/>
  <c r="BE10" i="78"/>
  <c r="AA79" i="85" s="1"/>
  <c r="Z5" i="88"/>
  <c r="BE21" i="78"/>
  <c r="AA74" i="85" s="1"/>
  <c r="Z16" i="88"/>
  <c r="AA15" i="88"/>
  <c r="BF20" i="78"/>
  <c r="AB72" i="85" s="1"/>
  <c r="AB9" i="88"/>
  <c r="BG14" i="78"/>
  <c r="AC68" i="85" s="1"/>
  <c r="BF15" i="78"/>
  <c r="AB69" i="85" s="1"/>
  <c r="AA10" i="88"/>
  <c r="Z7" i="88"/>
  <c r="BE12" i="78"/>
  <c r="AA66" i="85" s="1"/>
  <c r="Y132" i="85"/>
  <c r="BJ132" i="85"/>
  <c r="BF9" i="78"/>
  <c r="AB78" i="85" s="1"/>
  <c r="AA4" i="88"/>
  <c r="Z115" i="85"/>
  <c r="AL115" i="85"/>
  <c r="BK115" i="85"/>
  <c r="Z81" i="85"/>
  <c r="Y18" i="88"/>
  <c r="Y19" i="88" s="1"/>
  <c r="BE13" i="78"/>
  <c r="AA67" i="85" s="1"/>
  <c r="Z8" i="88"/>
  <c r="BU27" i="78" l="1"/>
  <c r="BZ27" i="78" s="1"/>
  <c r="CB27" i="78" s="1"/>
  <c r="CC27" i="78" s="1"/>
  <c r="BQ27" i="78"/>
  <c r="BT30" i="78"/>
  <c r="BY30" i="78" s="1"/>
  <c r="BX30" i="78"/>
  <c r="C26" i="99"/>
  <c r="D27" i="99"/>
  <c r="Q83" i="92"/>
  <c r="P89" i="92"/>
  <c r="BF18" i="78"/>
  <c r="AB73" i="85" s="1"/>
  <c r="AA13" i="88"/>
  <c r="Z18" i="88"/>
  <c r="Z19" i="88" s="1"/>
  <c r="P20" i="88" s="1"/>
  <c r="BH29" i="78"/>
  <c r="BI29" i="78" s="1"/>
  <c r="BJ29" i="78" s="1"/>
  <c r="BK29" i="78" s="1"/>
  <c r="BL29" i="78" s="1"/>
  <c r="BM29" i="78" s="1"/>
  <c r="BN29" i="78" s="1"/>
  <c r="BO29" i="78" s="1"/>
  <c r="AC82" i="85"/>
  <c r="BI19" i="78"/>
  <c r="AD14" i="88"/>
  <c r="BF17" i="78"/>
  <c r="AB71" i="85" s="1"/>
  <c r="AA12" i="88"/>
  <c r="AA11" i="88"/>
  <c r="BF16" i="78"/>
  <c r="AB70" i="85" s="1"/>
  <c r="BG20" i="78"/>
  <c r="AC72" i="85" s="1"/>
  <c r="AB15" i="88"/>
  <c r="BG9" i="78"/>
  <c r="AC78" i="85" s="1"/>
  <c r="AB4" i="88"/>
  <c r="BF21" i="78"/>
  <c r="AB74" i="85" s="1"/>
  <c r="AA16" i="88"/>
  <c r="BF13" i="78"/>
  <c r="AB67" i="85" s="1"/>
  <c r="AA8" i="88"/>
  <c r="BF10" i="78"/>
  <c r="AB79" i="85" s="1"/>
  <c r="AA5" i="88"/>
  <c r="BL115" i="85"/>
  <c r="AA81" i="85"/>
  <c r="AA115" i="85"/>
  <c r="AM115" i="85"/>
  <c r="BF12" i="78"/>
  <c r="AB66" i="85" s="1"/>
  <c r="AA7" i="88"/>
  <c r="BG15" i="78"/>
  <c r="AC69" i="85" s="1"/>
  <c r="AB10" i="88"/>
  <c r="BF11" i="78"/>
  <c r="AB80" i="85" s="1"/>
  <c r="AA6" i="88"/>
  <c r="Z132" i="85"/>
  <c r="BK132" i="85"/>
  <c r="BH22" i="78"/>
  <c r="AC17" i="88"/>
  <c r="BH14" i="78"/>
  <c r="AC9" i="88"/>
  <c r="BR27" i="78" l="1"/>
  <c r="BV27" i="78"/>
  <c r="CA27" i="78" s="1"/>
  <c r="C27" i="99"/>
  <c r="B26" i="99"/>
  <c r="B27" i="99" s="1"/>
  <c r="R83" i="92"/>
  <c r="Q89" i="92"/>
  <c r="AB13" i="88"/>
  <c r="BG18" i="78"/>
  <c r="AC73" i="85" s="1"/>
  <c r="AE14" i="88"/>
  <c r="BJ19" i="78"/>
  <c r="BG16" i="78"/>
  <c r="AC70" i="85" s="1"/>
  <c r="AB11" i="88"/>
  <c r="BG17" i="78"/>
  <c r="AC71" i="85" s="1"/>
  <c r="AB12" i="88"/>
  <c r="BI14" i="78"/>
  <c r="AD9" i="88"/>
  <c r="BG12" i="78"/>
  <c r="AC66" i="85" s="1"/>
  <c r="AB7" i="88"/>
  <c r="AC67" i="85"/>
  <c r="AB8" i="88"/>
  <c r="BG10" i="78"/>
  <c r="AC79" i="85" s="1"/>
  <c r="AB5" i="88"/>
  <c r="AB81" i="85"/>
  <c r="AN115" i="85"/>
  <c r="AB115" i="85"/>
  <c r="BM115" i="85"/>
  <c r="AD17" i="88"/>
  <c r="BI22" i="78"/>
  <c r="AC74" i="85"/>
  <c r="AB16" i="88"/>
  <c r="BH15" i="78"/>
  <c r="AC10" i="88"/>
  <c r="AA18" i="88"/>
  <c r="AA19" i="88" s="1"/>
  <c r="BH9" i="78"/>
  <c r="AC4" i="88"/>
  <c r="AC15" i="88"/>
  <c r="BH20" i="78"/>
  <c r="BG11" i="78"/>
  <c r="AC80" i="85" s="1"/>
  <c r="AB6" i="88"/>
  <c r="BL132" i="85"/>
  <c r="AA132" i="85"/>
  <c r="BS27" i="78" l="1"/>
  <c r="BW27" i="78"/>
  <c r="R89" i="92"/>
  <c r="S83" i="92"/>
  <c r="S89" i="92" s="1"/>
  <c r="AC13" i="88"/>
  <c r="BH18" i="78"/>
  <c r="AB18" i="88"/>
  <c r="AB19" i="88" s="1"/>
  <c r="BK19" i="78"/>
  <c r="AF14" i="88"/>
  <c r="BH17" i="78"/>
  <c r="AC12" i="88"/>
  <c r="BH16" i="78"/>
  <c r="AC11" i="88"/>
  <c r="BJ22" i="78"/>
  <c r="AE17" i="88"/>
  <c r="AB132" i="85"/>
  <c r="BM132" i="85"/>
  <c r="AC6" i="88"/>
  <c r="BH11" i="78"/>
  <c r="BH10" i="78"/>
  <c r="AC5" i="88"/>
  <c r="BI15" i="78"/>
  <c r="AD10" i="88"/>
  <c r="AC8" i="88"/>
  <c r="AD15" i="88"/>
  <c r="BI20" i="78"/>
  <c r="AC16" i="88"/>
  <c r="AC7" i="88"/>
  <c r="BH12" i="78"/>
  <c r="AC115" i="85"/>
  <c r="AC81" i="85"/>
  <c r="AO115" i="85"/>
  <c r="BN115" i="85"/>
  <c r="AD4" i="88"/>
  <c r="BI9" i="78"/>
  <c r="AE9" i="88"/>
  <c r="BJ14" i="78"/>
  <c r="BT27" i="78" l="1"/>
  <c r="BY27" i="78" s="1"/>
  <c r="BX27" i="78"/>
  <c r="AD13" i="88"/>
  <c r="BI18" i="78"/>
  <c r="BL19" i="78"/>
  <c r="AG14" i="88"/>
  <c r="BI16" i="78"/>
  <c r="AD11" i="88"/>
  <c r="BI17" i="78"/>
  <c r="AD12" i="88"/>
  <c r="AD7" i="88"/>
  <c r="BI12" i="78"/>
  <c r="AF9" i="88"/>
  <c r="BK14" i="78"/>
  <c r="AD16" i="88"/>
  <c r="BI10" i="78"/>
  <c r="AD5" i="88"/>
  <c r="AC18" i="88"/>
  <c r="AC19" i="88" s="1"/>
  <c r="BJ9" i="78"/>
  <c r="AE4" i="88"/>
  <c r="BI11" i="78"/>
  <c r="AD6" i="88"/>
  <c r="AE15" i="88"/>
  <c r="BJ20" i="78"/>
  <c r="AD8" i="88"/>
  <c r="AF17" i="88"/>
  <c r="BK22" i="78"/>
  <c r="BN132" i="85"/>
  <c r="AC132" i="85"/>
  <c r="AE10" i="88"/>
  <c r="BJ15" i="78"/>
  <c r="AE13" i="88" l="1"/>
  <c r="BJ18" i="78"/>
  <c r="BM19" i="78"/>
  <c r="AH14" i="88"/>
  <c r="BJ17" i="78"/>
  <c r="AE12" i="88"/>
  <c r="AD18" i="88"/>
  <c r="AD19" i="88" s="1"/>
  <c r="BJ16" i="78"/>
  <c r="AE11" i="88"/>
  <c r="AF15" i="88"/>
  <c r="BK20" i="78"/>
  <c r="BJ10" i="78"/>
  <c r="AE5" i="88"/>
  <c r="BJ11" i="78"/>
  <c r="AE6" i="88"/>
  <c r="AF10" i="88"/>
  <c r="BK15" i="78"/>
  <c r="AE16" i="88"/>
  <c r="BJ21" i="78"/>
  <c r="BL14" i="78"/>
  <c r="AG9" i="88"/>
  <c r="BJ13" i="78"/>
  <c r="AE8" i="88"/>
  <c r="AF4" i="88"/>
  <c r="BK9" i="78"/>
  <c r="BL22" i="78"/>
  <c r="AG17" i="88"/>
  <c r="AE7" i="88"/>
  <c r="BJ12" i="78"/>
  <c r="AF13" i="88" l="1"/>
  <c r="BK18" i="78"/>
  <c r="BN19" i="78"/>
  <c r="AI14" i="88"/>
  <c r="AF11" i="88"/>
  <c r="BK16" i="78"/>
  <c r="AF12" i="88"/>
  <c r="BK17" i="78"/>
  <c r="BK21" i="78"/>
  <c r="AF16" i="88"/>
  <c r="BK12" i="78"/>
  <c r="AF7" i="88"/>
  <c r="AG10" i="88"/>
  <c r="BL15" i="78"/>
  <c r="BK11" i="78"/>
  <c r="AF6" i="88"/>
  <c r="BL9" i="78"/>
  <c r="AG4" i="88"/>
  <c r="BK10" i="78"/>
  <c r="AF5" i="88"/>
  <c r="AH17" i="88"/>
  <c r="BM22" i="78"/>
  <c r="AE18" i="88"/>
  <c r="AE19" i="88" s="1"/>
  <c r="AF8" i="88"/>
  <c r="BK13" i="78"/>
  <c r="BM14" i="78"/>
  <c r="AH9" i="88"/>
  <c r="AG15" i="88"/>
  <c r="BL20" i="78"/>
  <c r="BL18" i="78" l="1"/>
  <c r="AG13" i="88"/>
  <c r="AF18" i="88"/>
  <c r="AF19" i="88" s="1"/>
  <c r="BO19" i="78"/>
  <c r="AJ14" i="88"/>
  <c r="AG12" i="88"/>
  <c r="AG11" i="88"/>
  <c r="BL16" i="78"/>
  <c r="AI9" i="88"/>
  <c r="BN14" i="78"/>
  <c r="BL13" i="78"/>
  <c r="AG8" i="88"/>
  <c r="BL11" i="78"/>
  <c r="AG6" i="88"/>
  <c r="BM20" i="78"/>
  <c r="AH15" i="88"/>
  <c r="AH10" i="88"/>
  <c r="BM15" i="78"/>
  <c r="BN22" i="78"/>
  <c r="AI17" i="88"/>
  <c r="BL12" i="78"/>
  <c r="AG7" i="88"/>
  <c r="BL10" i="78"/>
  <c r="AG5" i="88"/>
  <c r="BL21" i="78"/>
  <c r="AG16" i="88"/>
  <c r="BM9" i="78"/>
  <c r="AH4" i="88"/>
  <c r="AH13" i="88" l="1"/>
  <c r="BM18" i="78"/>
  <c r="BP19" i="78"/>
  <c r="AK14" i="88"/>
  <c r="AG18" i="88"/>
  <c r="AG19" i="88" s="1"/>
  <c r="BM16" i="78"/>
  <c r="AH11" i="88"/>
  <c r="AH12" i="88"/>
  <c r="BM21" i="78"/>
  <c r="AH16" i="88"/>
  <c r="BM11" i="78"/>
  <c r="AH6" i="88"/>
  <c r="AI15" i="88"/>
  <c r="BM10" i="78"/>
  <c r="AH5" i="88"/>
  <c r="AI4" i="88"/>
  <c r="BN9" i="78"/>
  <c r="BM12" i="78"/>
  <c r="AH7" i="88"/>
  <c r="BM13" i="78"/>
  <c r="AH8" i="88"/>
  <c r="BN15" i="78"/>
  <c r="AI10" i="88"/>
  <c r="BO22" i="78"/>
  <c r="AJ17" i="88"/>
  <c r="BO14" i="78"/>
  <c r="AJ9" i="88"/>
  <c r="AL14" i="88" l="1"/>
  <c r="BQ19" i="78"/>
  <c r="BN18" i="78"/>
  <c r="AI13" i="88"/>
  <c r="AH18" i="88"/>
  <c r="AH19" i="88" s="1"/>
  <c r="AI12" i="88"/>
  <c r="BN16" i="78"/>
  <c r="AI11" i="88"/>
  <c r="BN10" i="78"/>
  <c r="AI5" i="88"/>
  <c r="AJ10" i="88"/>
  <c r="BP22" i="78"/>
  <c r="AK17" i="88"/>
  <c r="AJ15" i="88"/>
  <c r="BP14" i="78"/>
  <c r="AK9" i="88"/>
  <c r="BN13" i="78"/>
  <c r="AI8" i="88"/>
  <c r="BO9" i="78"/>
  <c r="AJ4" i="88"/>
  <c r="BN11" i="78"/>
  <c r="AI6" i="88"/>
  <c r="BN12" i="78"/>
  <c r="AI7" i="88"/>
  <c r="BN21" i="78"/>
  <c r="AI16" i="88"/>
  <c r="AL9" i="88" l="1"/>
  <c r="BQ14" i="78"/>
  <c r="AL17" i="88"/>
  <c r="BQ22" i="78"/>
  <c r="AM14" i="88"/>
  <c r="BR19" i="78"/>
  <c r="AJ13" i="88"/>
  <c r="BO18" i="78"/>
  <c r="BO16" i="78"/>
  <c r="AJ11" i="88"/>
  <c r="AJ12" i="88"/>
  <c r="AK15" i="88"/>
  <c r="BO11" i="78"/>
  <c r="AJ6" i="88"/>
  <c r="BO12" i="78"/>
  <c r="AJ7" i="88"/>
  <c r="BP9" i="78"/>
  <c r="AK4" i="88"/>
  <c r="BQ9" i="78" s="1"/>
  <c r="BO21" i="78"/>
  <c r="AJ16" i="88"/>
  <c r="AI18" i="88"/>
  <c r="AI19" i="88" s="1"/>
  <c r="AK10" i="88"/>
  <c r="BO13" i="78"/>
  <c r="AJ8" i="88"/>
  <c r="BO10" i="78"/>
  <c r="AJ5" i="88"/>
  <c r="AN14" i="88" l="1"/>
  <c r="BS19" i="78"/>
  <c r="AM17" i="88"/>
  <c r="BR22" i="78"/>
  <c r="AL10" i="88"/>
  <c r="AL15" i="88"/>
  <c r="AM9" i="88"/>
  <c r="BR14" i="78"/>
  <c r="AK13" i="88"/>
  <c r="BP18" i="78"/>
  <c r="AK12" i="88"/>
  <c r="AK11" i="88"/>
  <c r="BP16" i="78"/>
  <c r="BP10" i="78"/>
  <c r="AK5" i="88"/>
  <c r="AJ18" i="88"/>
  <c r="AJ19" i="88" s="1"/>
  <c r="AK7" i="88"/>
  <c r="BP12" i="78"/>
  <c r="BP13" i="78"/>
  <c r="AK8" i="88"/>
  <c r="AK6" i="88"/>
  <c r="BP11" i="78"/>
  <c r="BP21" i="78"/>
  <c r="AK16" i="88"/>
  <c r="AL4" i="88"/>
  <c r="BR9" i="78" s="1"/>
  <c r="AN9" i="88" l="1"/>
  <c r="BS14" i="78"/>
  <c r="AM15" i="88"/>
  <c r="BR20" i="78"/>
  <c r="AL13" i="88"/>
  <c r="BQ18" i="78"/>
  <c r="AL5" i="88"/>
  <c r="BQ10" i="78"/>
  <c r="AL8" i="88"/>
  <c r="BQ13" i="78"/>
  <c r="AM10" i="88"/>
  <c r="AN17" i="88"/>
  <c r="BS22" i="78"/>
  <c r="AL16" i="88"/>
  <c r="BQ21" i="78"/>
  <c r="AL11" i="88"/>
  <c r="BQ16" i="78"/>
  <c r="AL6" i="88"/>
  <c r="BQ11" i="78"/>
  <c r="AL7" i="88"/>
  <c r="BQ12" i="78"/>
  <c r="AL12" i="88"/>
  <c r="BQ17" i="78"/>
  <c r="AO14" i="88"/>
  <c r="BT19" i="78"/>
  <c r="AM4" i="88"/>
  <c r="BS9" i="78" s="1"/>
  <c r="AK18" i="88"/>
  <c r="AK19" i="88" s="1"/>
  <c r="AM12" i="88" l="1"/>
  <c r="BR17" i="78"/>
  <c r="AM8" i="88"/>
  <c r="BR13" i="78"/>
  <c r="AM5" i="88"/>
  <c r="BR10" i="78"/>
  <c r="AM7" i="88"/>
  <c r="BR12" i="78"/>
  <c r="AM11" i="88"/>
  <c r="BR16" i="78"/>
  <c r="AM13" i="88"/>
  <c r="BR18" i="78"/>
  <c r="AM6" i="88"/>
  <c r="BR11" i="78"/>
  <c r="AN15" i="88"/>
  <c r="BS20" i="78"/>
  <c r="AN10" i="88"/>
  <c r="AL18" i="88"/>
  <c r="AL19" i="88" s="1"/>
  <c r="AM16" i="88"/>
  <c r="BR21" i="78"/>
  <c r="AP14" i="88"/>
  <c r="BU19" i="78"/>
  <c r="AO17" i="88"/>
  <c r="BT22" i="78"/>
  <c r="AO9" i="88"/>
  <c r="BT14" i="78"/>
  <c r="AN4" i="88"/>
  <c r="BT9" i="78" s="1"/>
  <c r="AN7" i="88" l="1"/>
  <c r="BS12" i="78"/>
  <c r="AN13" i="88"/>
  <c r="BS18" i="78"/>
  <c r="AN11" i="88"/>
  <c r="BS16" i="78"/>
  <c r="AN5" i="88"/>
  <c r="BS10" i="78"/>
  <c r="AO10" i="88"/>
  <c r="BT15" i="78"/>
  <c r="AP17" i="88"/>
  <c r="BU22" i="78"/>
  <c r="AQ14" i="88"/>
  <c r="BV19" i="78"/>
  <c r="AN16" i="88"/>
  <c r="BS21" i="78"/>
  <c r="AN8" i="88"/>
  <c r="BS13" i="78"/>
  <c r="AM18" i="88"/>
  <c r="AM19" i="88" s="1"/>
  <c r="AO15" i="88"/>
  <c r="BT20" i="78"/>
  <c r="AP9" i="88"/>
  <c r="BU14" i="78"/>
  <c r="AN6" i="88"/>
  <c r="BS11" i="78"/>
  <c r="AN12" i="88"/>
  <c r="BS17" i="78"/>
  <c r="AO4" i="88"/>
  <c r="AO6" i="88" l="1"/>
  <c r="BT11" i="78"/>
  <c r="BU20" i="78"/>
  <c r="AP15" i="88"/>
  <c r="AQ9" i="88"/>
  <c r="BV14" i="78"/>
  <c r="AO5" i="88"/>
  <c r="BT10" i="78"/>
  <c r="AP10" i="88"/>
  <c r="BU15" i="78"/>
  <c r="AQ17" i="88"/>
  <c r="BV22" i="78"/>
  <c r="AO11" i="88"/>
  <c r="BT16" i="78"/>
  <c r="AN18" i="88"/>
  <c r="AN19" i="88" s="1"/>
  <c r="AO16" i="88"/>
  <c r="BT21" i="78"/>
  <c r="AO13" i="88"/>
  <c r="BT18" i="78"/>
  <c r="AO12" i="88"/>
  <c r="BT17" i="78"/>
  <c r="AO8" i="88"/>
  <c r="BT13" i="78"/>
  <c r="AR14" i="88"/>
  <c r="BW19" i="78"/>
  <c r="AO7" i="88"/>
  <c r="BT12" i="78"/>
  <c r="BU9" i="78"/>
  <c r="AP4" i="88"/>
  <c r="BV9" i="78" s="1"/>
  <c r="AR17" i="88" l="1"/>
  <c r="BW22" i="78"/>
  <c r="AQ10" i="88"/>
  <c r="BV15" i="78"/>
  <c r="AP12" i="88"/>
  <c r="BU17" i="78"/>
  <c r="BU13" i="78"/>
  <c r="AP8" i="88"/>
  <c r="AP5" i="88"/>
  <c r="BU10" i="78"/>
  <c r="AO18" i="88"/>
  <c r="AO19" i="88" s="1"/>
  <c r="AR9" i="88"/>
  <c r="BW14" i="78"/>
  <c r="AP16" i="88"/>
  <c r="BU21" i="78"/>
  <c r="AQ15" i="88"/>
  <c r="BV20" i="78"/>
  <c r="AS14" i="88"/>
  <c r="BX19" i="78"/>
  <c r="BU12" i="78"/>
  <c r="AP7" i="88"/>
  <c r="AP13" i="88"/>
  <c r="BU18" i="78"/>
  <c r="BU16" i="78"/>
  <c r="AP11" i="88"/>
  <c r="BU11" i="78"/>
  <c r="AP6" i="88"/>
  <c r="AP18" i="88" s="1"/>
  <c r="AP19" i="88" s="1"/>
  <c r="AQ4" i="88"/>
  <c r="BW9" i="78" s="1"/>
  <c r="AS9" i="88" l="1"/>
  <c r="BX14" i="78"/>
  <c r="AQ5" i="88"/>
  <c r="BV10" i="78"/>
  <c r="AQ8" i="88"/>
  <c r="BV13" i="78"/>
  <c r="AQ7" i="88"/>
  <c r="BV12" i="78"/>
  <c r="AT14" i="88"/>
  <c r="AQ12" i="88"/>
  <c r="BV17" i="78"/>
  <c r="AQ13" i="88"/>
  <c r="AR15" i="88"/>
  <c r="BW20" i="78"/>
  <c r="AR10" i="88"/>
  <c r="BW15" i="78"/>
  <c r="AQ6" i="88"/>
  <c r="BV11" i="78"/>
  <c r="AQ16" i="88"/>
  <c r="BV21" i="78"/>
  <c r="AQ11" i="88"/>
  <c r="BV16" i="78"/>
  <c r="AS17" i="88"/>
  <c r="BX22" i="78"/>
  <c r="AR4" i="88"/>
  <c r="BX9" i="78" s="1"/>
  <c r="AQ18" i="88" l="1"/>
  <c r="AQ19" i="88" s="1"/>
  <c r="AR12" i="88"/>
  <c r="BW17" i="78"/>
  <c r="AR7" i="88"/>
  <c r="BW12" i="78"/>
  <c r="AR16" i="88"/>
  <c r="BW21" i="78"/>
  <c r="AS10" i="88"/>
  <c r="BX15" i="78"/>
  <c r="AR8" i="88"/>
  <c r="BW13" i="78"/>
  <c r="AR5" i="88"/>
  <c r="BW10" i="78"/>
  <c r="AR6" i="88"/>
  <c r="BW11" i="78"/>
  <c r="AS15" i="88"/>
  <c r="BX20" i="78"/>
  <c r="AR11" i="88"/>
  <c r="BW16" i="78"/>
  <c r="AT17" i="88"/>
  <c r="BZ22" i="78" s="1"/>
  <c r="BY22" i="78"/>
  <c r="AR13" i="88"/>
  <c r="AT9" i="88"/>
  <c r="BZ14" i="78" s="1"/>
  <c r="BY14" i="78"/>
  <c r="AS4" i="88"/>
  <c r="BY9" i="78" s="1"/>
  <c r="AS8" i="88" l="1"/>
  <c r="BX13" i="78"/>
  <c r="AT10" i="88"/>
  <c r="BZ15" i="78" s="1"/>
  <c r="BY15" i="78"/>
  <c r="AS5" i="88"/>
  <c r="BX10" i="78"/>
  <c r="AS16" i="88"/>
  <c r="BX21" i="78"/>
  <c r="AS11" i="88"/>
  <c r="BX16" i="78"/>
  <c r="AT15" i="88"/>
  <c r="BZ20" i="78" s="1"/>
  <c r="BY20" i="78"/>
  <c r="AS7" i="88"/>
  <c r="BX12" i="78"/>
  <c r="AS13" i="88"/>
  <c r="BX18" i="78"/>
  <c r="AR18" i="88"/>
  <c r="AR19" i="88" s="1"/>
  <c r="AS6" i="88"/>
  <c r="BX11" i="78"/>
  <c r="AS12" i="88"/>
  <c r="BX17" i="78"/>
  <c r="AT4" i="88"/>
  <c r="AT11" i="88" l="1"/>
  <c r="BZ16" i="78" s="1"/>
  <c r="BY16" i="78"/>
  <c r="AT16" i="88"/>
  <c r="BZ21" i="78" s="1"/>
  <c r="BY21" i="78"/>
  <c r="AT12" i="88"/>
  <c r="BZ17" i="78" s="1"/>
  <c r="BY17" i="78"/>
  <c r="AT5" i="88"/>
  <c r="BZ10" i="78" s="1"/>
  <c r="BY10" i="78"/>
  <c r="AT6" i="88"/>
  <c r="BZ11" i="78" s="1"/>
  <c r="BY11" i="78"/>
  <c r="AS18" i="88"/>
  <c r="AS19" i="88" s="1"/>
  <c r="AT13" i="88"/>
  <c r="BZ18" i="78" s="1"/>
  <c r="BY18" i="78"/>
  <c r="AT7" i="88"/>
  <c r="BZ12" i="78" s="1"/>
  <c r="BY12" i="78"/>
  <c r="AT8" i="88"/>
  <c r="BZ13" i="78" s="1"/>
  <c r="BY13" i="78"/>
  <c r="BZ9" i="78"/>
  <c r="AT18" i="88" l="1"/>
  <c r="AT19" i="88" s="1"/>
  <c r="P137" i="92"/>
  <c r="O154" i="92" s="1"/>
  <c r="K163" i="92" l="1"/>
  <c r="P154" i="92"/>
  <c r="U3" i="99"/>
  <c r="T3" i="99"/>
  <c r="S3" i="99"/>
  <c r="R3" i="99"/>
  <c r="Q3" i="99"/>
  <c r="P3" i="99"/>
  <c r="O3" i="99"/>
  <c r="N3" i="99"/>
  <c r="M3" i="99"/>
  <c r="L3" i="99"/>
  <c r="K3" i="99"/>
  <c r="J3" i="99"/>
  <c r="I3" i="99"/>
  <c r="H3" i="99"/>
  <c r="G3" i="99"/>
  <c r="F3" i="99"/>
  <c r="E3" i="99"/>
  <c r="D3" i="99"/>
  <c r="C3" i="99"/>
  <c r="C4" i="99"/>
  <c r="B3" i="99"/>
  <c r="B4" i="99"/>
  <c r="D4" i="99"/>
  <c r="E4" i="99"/>
  <c r="F4" i="99"/>
  <c r="G4" i="99"/>
  <c r="H4" i="99"/>
  <c r="I4" i="99"/>
  <c r="J4" i="99"/>
  <c r="K4" i="99"/>
  <c r="L4" i="99"/>
  <c r="M4" i="99"/>
  <c r="N4" i="99"/>
  <c r="O4" i="99"/>
  <c r="P4" i="99"/>
  <c r="Q4" i="99"/>
  <c r="R4" i="99"/>
  <c r="V3" i="99"/>
  <c r="W3" i="99"/>
  <c r="X3" i="99"/>
  <c r="Y3" i="99"/>
  <c r="Y5" i="99"/>
  <c r="Q54" i="84"/>
  <c r="R54" i="84"/>
  <c r="G25" i="82"/>
  <c r="Q36" i="84"/>
  <c r="R36" i="84"/>
  <c r="G7" i="82"/>
  <c r="Q37" i="84"/>
  <c r="Q38" i="84"/>
  <c r="Q39" i="84"/>
  <c r="Q40" i="84"/>
  <c r="Q41" i="84"/>
  <c r="Q42" i="84"/>
  <c r="Q43" i="84"/>
  <c r="Q44" i="84"/>
  <c r="Q45" i="84"/>
  <c r="Q46" i="84"/>
  <c r="Q47" i="84"/>
  <c r="Q48" i="84"/>
  <c r="Q49" i="84"/>
  <c r="Q50" i="84"/>
  <c r="Q51" i="84"/>
  <c r="Q52" i="84"/>
  <c r="Q53" i="84"/>
  <c r="Q55" i="84"/>
  <c r="Q56" i="84"/>
  <c r="Q57" i="84"/>
  <c r="R50" i="84"/>
  <c r="G21" i="82"/>
  <c r="R48" i="84"/>
  <c r="G19" i="82"/>
  <c r="R37" i="84"/>
  <c r="G8" i="82"/>
  <c r="W4" i="99"/>
  <c r="D55" i="118"/>
  <c r="D60" i="118" s="1"/>
  <c r="D61" i="118" s="1"/>
  <c r="R49" i="84"/>
  <c r="G20" i="82"/>
  <c r="AD38" i="83"/>
  <c r="Y34" i="83"/>
  <c r="S4" i="99"/>
  <c r="R45" i="84"/>
  <c r="G16" i="82"/>
  <c r="R52" i="84"/>
  <c r="G23" i="82"/>
  <c r="J33" i="80"/>
  <c r="L33" i="80"/>
  <c r="R39" i="84"/>
  <c r="G10" i="82"/>
  <c r="R56" i="84"/>
  <c r="G27" i="82"/>
  <c r="R7" i="83"/>
  <c r="R8" i="83" s="1"/>
  <c r="R9" i="83" s="1"/>
  <c r="F27" i="83" s="1"/>
  <c r="R43" i="84"/>
  <c r="G14" i="82"/>
  <c r="R53" i="84"/>
  <c r="G24" i="82"/>
  <c r="R55" i="84"/>
  <c r="G26" i="82"/>
  <c r="H33" i="80"/>
  <c r="I33" i="80" s="1"/>
  <c r="R41" i="84"/>
  <c r="G12" i="82"/>
  <c r="R40" i="84"/>
  <c r="G11" i="82"/>
  <c r="R51" i="84"/>
  <c r="G22" i="82"/>
  <c r="W20" i="100"/>
  <c r="W21" i="100" s="1"/>
  <c r="W22" i="100" s="1"/>
  <c r="R46" i="84"/>
  <c r="G17" i="82"/>
  <c r="R44" i="84"/>
  <c r="G15" i="82"/>
  <c r="T4" i="99"/>
  <c r="B15" i="99"/>
  <c r="B14" i="99"/>
  <c r="U4" i="99"/>
  <c r="S20" i="100"/>
  <c r="S21" i="100" s="1"/>
  <c r="S22" i="100" s="1"/>
  <c r="X4" i="99"/>
  <c r="L29" i="79"/>
  <c r="K52" i="80"/>
  <c r="V20" i="100"/>
  <c r="V21" i="100"/>
  <c r="V22" i="100" s="1"/>
  <c r="H52" i="80"/>
  <c r="I52" i="80"/>
  <c r="J52" i="80"/>
  <c r="L52" i="80"/>
  <c r="P20" i="83"/>
  <c r="H10" i="83" s="1"/>
  <c r="P21" i="83"/>
  <c r="H11" i="83" s="1"/>
  <c r="P22" i="83"/>
  <c r="H12" i="83" s="1"/>
  <c r="Q33" i="83"/>
  <c r="K29" i="79"/>
  <c r="S33" i="83"/>
  <c r="V4" i="99"/>
  <c r="T20" i="100"/>
  <c r="T21" i="100"/>
  <c r="T22" i="100" s="1"/>
  <c r="S38" i="84"/>
  <c r="R38" i="84"/>
  <c r="U20" i="100"/>
  <c r="U21" i="100" s="1"/>
  <c r="U22" i="100" s="1"/>
  <c r="Y4" i="99"/>
  <c r="W71" i="87" l="1"/>
  <c r="X71" i="87" s="1"/>
  <c r="F28" i="83"/>
  <c r="W73" i="87"/>
  <c r="X73" i="87" s="1"/>
  <c r="F30" i="83"/>
  <c r="W72" i="87"/>
  <c r="X72" i="87" s="1"/>
  <c r="F29" i="83"/>
  <c r="R25" i="83"/>
  <c r="H9" i="83"/>
  <c r="W23" i="100"/>
  <c r="G9" i="100"/>
  <c r="K33" i="80"/>
  <c r="M33" i="8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8" authorId="0" shapeId="0" xr:uid="{8B9C66CA-1C70-499C-8246-84CEC0BF5678}">
      <text>
        <r>
          <rPr>
            <b/>
            <sz val="9"/>
            <color indexed="81"/>
            <rFont val="Tahoma"/>
            <family val="2"/>
          </rPr>
          <t>Bruno:</t>
        </r>
        <r>
          <rPr>
            <sz val="9"/>
            <color indexed="81"/>
            <rFont val="Tahoma"/>
            <family val="2"/>
          </rPr>
          <t xml:space="preserve">
Need ramp rate constraints if using this option.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tc={9BB4A2A1-4764-4CBE-9226-2127C6FE5D5B}</author>
    <author>tc={F4D91DFD-3C01-4870-B3C2-EAC8F00B521F}</author>
    <author>tc={263E3071-D266-4F17-B864-9DCF7BA77DC2}</author>
    <author>tc={802B7326-2ABF-416B-A8D6-0F25ACEC14E7}</author>
    <author>tc={E296C19E-5E99-4F45-8B5B-66B4133899E4}</author>
    <author>tc={FB7F9219-AD31-463D-984A-FB6CD9261B67}</author>
    <author>tc={C041B920-FA11-4B50-A8F8-76DC36C18D8E}</author>
    <author>tc={B4857558-F841-4154-A3FC-5A8369F4AD34}</author>
    <author>tc={EEA2BE99-6A97-49F1-B4D8-24FF6113B417}</author>
    <author>tc={FC3FF055-25BC-4889-AEFB-3BD1FCE4CCB8}</author>
    <author>tc={C6BAC441-D0BC-4E9F-A8CD-16E0038D0586}</author>
    <author>tc={5DAD8B72-22C7-4B56-B170-AEAC8EDD3369}</author>
    <author>tc={7865C21B-B1C4-49EE-B2C2-D45F544C01A9}</author>
    <author>tc={AE24E85F-755A-4A50-9D9C-389428F5E443}</author>
    <author>tc={86F7BDE8-0691-4EB7-B613-E09DBE04CB64}</author>
    <author>tc={F280DE25-8357-4AF8-BD84-318E53AEE668}</author>
    <author>tc={F2B23BB2-C4D8-469C-8C42-4DD57AADAFD2}</author>
  </authors>
  <commentList>
    <comment ref="H3" authorId="0" shapeId="0" xr:uid="{9BB4A2A1-4764-4CBE-9226-2127C6FE5D5B}">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L3" authorId="1" shapeId="0" xr:uid="{F4D91DFD-3C01-4870-B3C2-EAC8F00B521F}">
      <text>
        <t>[Threaded comment]
Your version of Excel allows you to read this threaded comment; however, any edits to it will get removed if the file is opened in a newer version of Excel. Learn more: https://go.microsoft.com/fwlink/?linkid=870924
Comment:
    scaled cost of new plant to match 2012 SAM. The cost is required in order to scale the capital intensity of the electricity sector in the CGE over time. This will have to be reviewed when we move to the 2017 and later SAMs.</t>
      </text>
    </comment>
    <comment ref="M3" authorId="2" shapeId="0" xr:uid="{263E3071-D266-4F17-B864-9DCF7BA77DC2}">
      <text>
        <t>[Threaded comment]
Your version of Excel allows you to read this threaded comment; however, any edits to it will get removed if the file is opened in a newer version of Excel. Learn more: https://go.microsoft.com/fwlink/?linkid=870924
Comment:
    Since Resid is fixed, and life-extensions exogenous, Life here is only used to calculate the annualised investment cost.</t>
      </text>
    </comment>
    <comment ref="O3" authorId="3" shapeId="0" xr:uid="{802B7326-2ABF-416B-A8D6-0F25ACEC14E7}">
      <text>
        <t>[Threaded comment]
Your version of Excel allows you to read this threaded comment; however, any edits to it will get removed if the file is opened in a newer version of Excel. Learn more: https://go.microsoft.com/fwlink/?linkid=870924
Comment:
    This doesn't seem to be working in current version.</t>
      </text>
    </comment>
    <comment ref="AI4" authorId="4" shapeId="0" xr:uid="{E296C19E-5E99-4F45-8B5B-66B4133899E4}">
      <text>
        <t>[Threaded comment]
Your version of Excel allows you to read this threaded comment; however, any edits to it will get removed if the file is opened in a newer version of Excel. Learn more: https://go.microsoft.com/fwlink/?linkid=870924
Comment:
    set to 40% except where performance is currently lower.</t>
      </text>
    </comment>
    <comment ref="AL9" authorId="5" shapeId="0" xr:uid="{FB7F9219-AD31-463D-984A-FB6CD9261B67}">
      <text>
        <t>[Threaded comment]
Your version of Excel allows you to read this threaded comment; however, any edits to it will get removed if the file is opened in a newer version of Excel. Learn more: https://go.microsoft.com/fwlink/?linkid=870924
Comment:
    As specified by Eskom</t>
      </text>
    </comment>
    <comment ref="AM9" authorId="6" shapeId="0" xr:uid="{C041B920-FA11-4B50-A8F8-76DC36C18D8E}">
      <text>
        <t>[Threaded comment]
Your version of Excel allows you to read this threaded comment; however, any edits to it will get removed if the file is opened in a newer version of Excel. Learn more: https://go.microsoft.com/fwlink/?linkid=870924
Comment:
    other emissions from IPCC, no FGD assumed except on Kusile. Emissions change for retrofit specified in retrofit scenario.</t>
      </text>
    </comment>
    <comment ref="H23" authorId="7" shapeId="0" xr:uid="{B4857558-F841-4154-A3FC-5A8369F4AD34}">
      <text>
        <t>[Threaded comment]
Your version of Excel allows you to read this threaded comment; however, any edits to it will get removed if the file is opened in a newer version of Excel. Learn more: https://go.microsoft.com/fwlink/?linkid=870924
Comment:
    from NIRP3 table</t>
      </text>
    </comment>
    <comment ref="AL23" authorId="8" shapeId="0" xr:uid="{EEA2BE99-6A97-49F1-B4D8-24FF6113B417}">
      <text>
        <t>[Threaded comment]
Your version of Excel allows you to read this threaded comment; however, any edits to it will get removed if the file is opened in a newer version of Excel. Learn more: https://go.microsoft.com/fwlink/?linkid=870924
Comment:
    Emissions accounted for in fuel supply</t>
      </text>
    </comment>
    <comment ref="AL24" authorId="9" shapeId="0" xr:uid="{FC3FF055-25BC-4889-AEFB-3BD1FCE4CCB8}">
      <text>
        <t>[Threaded comment]
Your version of Excel allows you to read this threaded comment; however, any edits to it will get removed if the file is opened in a newer version of Excel. Learn more: https://go.microsoft.com/fwlink/?linkid=870924
Comment:
    UPSCLE doesn't automatically get associated with emissions (it's treated as an exception).</t>
      </text>
    </comment>
    <comment ref="R26" authorId="10" shapeId="0" xr:uid="{C6BAC441-D0BC-4E9F-A8CD-16E0038D0586}">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F26" authorId="11" shapeId="0" xr:uid="{5DAD8B72-22C7-4B56-B170-AEAC8EDD3369}">
      <text>
        <t>[Threaded comment]
Your version of Excel allows you to read this threaded comment; however, any edits to it will get removed if the file is opened in a newer version of Excel. Learn more: https://go.microsoft.com/fwlink/?linkid=870924
Comment:
    IRP 2019 Table 6 (Gourikwa)</t>
      </text>
    </comment>
    <comment ref="AI26" authorId="12" shapeId="0" xr:uid="{7865C21B-B1C4-49EE-B2C2-D45F544C01A9}">
      <text>
        <t>[Threaded comment]
Your version of Excel allows you to read this threaded comment; however, any edits to it will get removed if the file is opened in a newer version of Excel. Learn more: https://go.microsoft.com/fwlink/?linkid=870924
Comment:
    assumption</t>
      </text>
    </comment>
    <comment ref="AT26" authorId="13" shapeId="0" xr:uid="{AE24E85F-755A-4A50-9D9C-389428F5E443}">
      <text>
        <t>[Threaded comment]
Your version of Excel allows you to read this threaded comment; however, any edits to it will get removed if the file is opened in a newer version of Excel. Learn more: https://go.microsoft.com/fwlink/?linkid=870924
Comment:
    Acacia (171), Atlantis(1323), Mossel Bay (Gouwrika 735), Port Rex (171)</t>
      </text>
    </comment>
    <comment ref="AT27" authorId="14" shapeId="0" xr:uid="{86F7BDE8-0691-4EB7-B613-E09DBE04CB64}">
      <text>
        <t>[Threaded comment]
Your version of Excel allows you to read this threaded comment; however, any edits to it will get removed if the file is opened in a newer version of Excel. Learn more: https://go.microsoft.com/fwlink/?linkid=870924
Comment:
    Gariep (360), Vanderkloof (240),mini hydro (65),</t>
      </text>
    </comment>
    <comment ref="J28" authorId="15" shapeId="0" xr:uid="{F280DE25-8357-4AF8-BD84-318E53AEE668}">
      <text>
        <t>[Threaded comment]
Your version of Excel allows you to read this threaded comment; however, any edits to it will get removed if the file is opened in a newer version of Excel. Learn more: https://go.microsoft.com/fwlink/?linkid=870924
Comment:
    from Eskom's Revenue Application, orifinal unit in R/kWh.</t>
      </text>
    </comment>
    <comment ref="U29" authorId="16" shapeId="0" xr:uid="{F2B23BB2-C4D8-469C-8C42-4DD57AADAFD2}">
      <text>
        <t>[Threaded comment]
Your version of Excel allows you to read this threaded comment; however, any edits to it will get removed if the file is opened in a newer version of Excel. Learn more: https://go.microsoft.com/fwlink/?linkid=870924
Comment:
    From IRP2019 Table 6</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tc={28CCC92B-4A67-4658-B042-8D4B6C457D6F}</author>
    <author>tc={BFA9E0BC-33B8-440F-A10B-D7332B4CC8EF}</author>
    <author>tc={A3D4EE97-D556-423C-A0DB-1389CD7D1C2B}</author>
    <author>tc={5875437B-1BED-4E3D-B355-05389A45B310}</author>
    <author>tc={79232F3A-E7D2-4723-B960-4161D555F8D0}</author>
    <author>Ken Noble</author>
    <author>tc={A53A58B7-46C7-4A17-BFBA-641E4846E66F}</author>
    <author>tc={9BD4E209-CE38-457B-8126-EA86D28597B9}</author>
    <author>tc={AB896466-B673-4908-885A-B41BA3252BAE}</author>
    <author>tc={1FDEE2BC-813D-4B86-893B-E0A3C8B29BFF}</author>
    <author>tc={821368DA-46B3-405B-B5DB-3E040B034C0A}</author>
    <author>tc={6566F2C6-EBA9-49EB-A56F-31597CCB7E34}</author>
    <author>tc={17E2CE06-023D-419F-B261-9DC5D1728B4A}</author>
    <author>tc={7A35F23A-FACE-406F-AFEC-C2B7AE61685B}</author>
    <author>tc={CEB9C338-6EB1-45E0-AE40-72173E378427}</author>
    <author>tc={70D458D1-4E32-4AA6-948C-CAE28C2900CD}</author>
    <author>tc={6B7A4A15-CFFC-4E55-9DE9-AA61BCB6D686}</author>
    <author>tc={80E17520-9E72-4E8A-A05C-4BDD819B57BD}</author>
    <author>tc={50E1B3CC-E7F8-4756-B8F1-F2A55DEE3413}</author>
    <author>tc={D1460FF5-43B7-4027-B927-36AE83D0D10C}</author>
    <author>bruno merven</author>
    <author>tc={7856863C-AD0E-4552-86A3-DAE931CE4CE1}</author>
    <author>tc={F0FD37F5-0DC2-4BC3-B532-6EB32807C73F}</author>
    <author>tc={6AE0CE63-7BA1-4C0A-8ACF-0A39B05BDB4F}</author>
    <author>tc={DF26B6BE-1508-4D0C-87C7-335CCFE6F371}</author>
    <author>tc={A0F8B7F6-A70E-4834-A845-111C475B4B8E}</author>
    <author>tc={41C4CE3C-0BD7-41CC-8751-9D979346D33C}</author>
    <author>tc={82708746-1E5B-4D6F-BF30-71241C9253DC}</author>
    <author>tc={BB998947-1EB5-47FF-BB6F-DFB49C7AF078}</author>
    <author>tc={5D70DF5C-7E9C-4969-8A4F-A7AA3F2934C9}</author>
    <author>tc={7BACB255-6CEF-4225-9668-53C719A98255}</author>
    <author>tc={922210DF-5E4F-4E4B-891B-58660EC70BC1}</author>
    <author>tc={D9B06297-94B2-45B1-ACD9-CE6F0905158A}</author>
    <author>tc={FEBD0A36-0CA4-4766-8225-6DC41F693D29}</author>
    <author>tc={F41503B7-4B4E-43CF-8259-59A9396185D5}</author>
    <author>tc={45135FA3-F7CF-4DED-8ED0-4139196F43A3}</author>
    <author>tc={4623E544-BCF7-4F09-A23B-8041F0217FE4}</author>
    <author>tc={D709F018-B614-450C-88F8-A3E01A3881F9}</author>
    <author>tc={32EC87D1-8D46-4968-96C8-E648CE357CC8}</author>
    <author>tc={9863EE6A-8012-4F45-BCFD-44BD47EF77C2}</author>
    <author>tc={BC21BE5F-A36B-45E4-9E1D-EAC47E99706B}</author>
  </authors>
  <commentList>
    <comment ref="H3" authorId="0" shapeId="0" xr:uid="{28CCC92B-4A67-4658-B042-8D4B6C457D6F}">
      <text>
        <t>[Threaded comment]
Your version of Excel allows you to read this threaded comment; however, any edits to it will get removed if the file is opened in a newer version of Excel. Learn more: https://go.microsoft.com/fwlink/?linkid=870924
Comment:
    This is needed when auxiliary commodities are included</t>
      </text>
    </comment>
    <comment ref="J3" authorId="1" shapeId="0" xr:uid="{BFA9E0BC-33B8-440F-A10B-D7332B4CC8EF}">
      <text>
        <t>[Threaded comment]
Your version of Excel allows you to read this threaded comment; however, any edits to it will get removed if the file is opened in a newer version of Excel. Learn more: https://go.microsoft.com/fwlink/?linkid=870924
Comment:
    Mostly taken from IRP 2019</t>
      </text>
    </comment>
    <comment ref="M3" authorId="2" shapeId="0" xr:uid="{A3D4EE97-D556-423C-A0DB-1389CD7D1C2B}">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N3" authorId="3" shapeId="0" xr:uid="{5875437B-1BED-4E3D-B355-05389A45B310}">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
Reply:
    Changed all new coal life to 50 according to eskom decomm schedule</t>
      </text>
    </comment>
    <comment ref="G4" authorId="4" shapeId="0" xr:uid="{79232F3A-E7D2-4723-B960-4161D555F8D0}">
      <text>
        <t>[Threaded comment]
Your version of Excel allows you to read this threaded comment; however, any edits to it will get removed if the file is opened in a newer version of Excel. Learn more: https://go.microsoft.com/fwlink/?linkid=870924
Comment:
    Mostly taken from EPRI 2017</t>
      </text>
    </comment>
    <comment ref="F7" authorId="5" shapeId="0" xr:uid="{8A24FB76-9D88-46AC-B725-D856D66842D3}">
      <text>
        <r>
          <rPr>
            <sz val="8"/>
            <color indexed="81"/>
            <rFont val="Tahoma"/>
            <family val="2"/>
          </rPr>
          <t>If Process Activity is: Output-based, leave blank.
Input-based, insert I.</t>
        </r>
      </text>
    </comment>
    <comment ref="M9" authorId="6" shapeId="0" xr:uid="{A53A58B7-46C7-4A17-BFBA-641E4846E66F}">
      <text>
        <t>[Threaded comment]
Your version of Excel allows you to read this threaded comment; however, any edits to it will get removed if the file is opened in a newer version of Excel. Learn more: https://go.microsoft.com/fwlink/?linkid=870924
Comment:
    Spreading the investment over a longer period as per what happened, also to limit investment requirements for CGE</t>
      </text>
    </comment>
    <comment ref="U9" authorId="7" shapeId="0" xr:uid="{9BD4E209-CE38-457B-8126-EA86D28597B9}">
      <text>
        <t>[Threaded comment]
Your version of Excel allows you to read this threaded comment; however, any edits to it will get removed if the file is opened in a newer version of Excel. Learn more: https://go.microsoft.com/fwlink/?linkid=870924
Comment:
    Assumption, that could be contested.</t>
      </text>
    </comment>
    <comment ref="AM9" authorId="8" shapeId="0" xr:uid="{AB896466-B673-4908-885A-B41BA3252BAE}">
      <text>
        <t>[Threaded comment]
Your version of Excel allows you to read this threaded comment; however, any edits to it will get removed if the file is opened in a newer version of Excel. Learn more: https://go.microsoft.com/fwlink/?linkid=870924
Comment:
    EPRI 2017</t>
      </text>
    </comment>
    <comment ref="H10" authorId="9" shapeId="0" xr:uid="{1FDEE2BC-813D-4B86-893B-E0A3C8B29BFF}">
      <text>
        <t>[Threaded comment]
Your version of Excel allows you to read this threaded comment; however, any edits to it will get removed if the file is opened in a newer version of Excel. Learn more: https://go.microsoft.com/fwlink/?linkid=870924
Comment:
    from EPRI 2017</t>
      </text>
    </comment>
    <comment ref="K10" authorId="10" shapeId="0" xr:uid="{821368DA-46B3-405B-B5DB-3E040B034C0A}">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
Reply:
    Changed from 845 to the same as existing fleet.</t>
      </text>
    </comment>
    <comment ref="L10" authorId="11" shapeId="0" xr:uid="{6566F2C6-EBA9-49EB-A56F-31597CCB7E34}">
      <text>
        <t>[Threaded comment]
Your version of Excel allows you to read this threaded comment; however, any edits to it will get removed if the file is opened in a newer version of Excel. Learn more: https://go.microsoft.com/fwlink/?linkid=870924
Comment:
    based on Meridian LCOE workbook, which uses actual expenditure</t>
      </text>
    </comment>
    <comment ref="AM10" authorId="12" shapeId="0" xr:uid="{17E2CE06-023D-419F-B261-9DC5D1728B4A}">
      <text>
        <t>[Threaded comment]
Your version of Excel allows you to read this threaded comment; however, any edits to it will get removed if the file is opened in a newer version of Excel. Learn more: https://go.microsoft.com/fwlink/?linkid=870924
Comment:
    https://www.ge.com/news/press-releases/eskoms-kusile-wet-flue-gas-desulphurization-plant-achieves-93-removal-efficiency</t>
      </text>
    </comment>
    <comment ref="AN10" authorId="13" shapeId="0" xr:uid="{7A35F23A-FACE-406F-AFEC-C2B7AE61685B}">
      <text>
        <t>[Threaded comment]
Your version of Excel allows you to read this threaded comment; however, any edits to it will get removed if the file is opened in a newer version of Excel. Learn more: https://go.microsoft.com/fwlink/?linkid=870924
Comment:
    not sure how those are affected by the FGD</t>
      </text>
    </comment>
    <comment ref="BG10" authorId="14" shapeId="0" xr:uid="{CEB9C338-6EB1-45E0-AE40-72173E378427}">
      <text>
        <t>[Threaded comment]
Your version of Excel allows you to read this threaded comment; however, any edits to it will get removed if the file is opened in a newer version of Excel. Learn more: https://go.microsoft.com/fwlink/?linkid=870924
Comment:
    Eskom Medium Adequacy Report 2019
Reply:
    adjusted again using Medium adequacy report from 2020</t>
      </text>
    </comment>
    <comment ref="D11" authorId="15" shapeId="0" xr:uid="{70D458D1-4E32-4AA6-948C-CAE28C2900CD}">
      <text>
        <t>[Threaded comment]
Your version of Excel allows you to read this threaded comment; however, any edits to it will get removed if the file is opened in a newer version of Excel. Learn more: https://go.microsoft.com/fwlink/?linkid=870924
Comment:
    Assumes new plants will get similar contract to Medupi</t>
      </text>
    </comment>
    <comment ref="H11" authorId="16" shapeId="0" xr:uid="{6B7A4A15-CFFC-4E55-9DE9-AA61BCB6D686}">
      <text>
        <t>[Threaded comment]
Your version of Excel allows you to read this threaded comment; however, any edits to it will get removed if the file is opened in a newer version of Excel. Learn more: https://go.microsoft.com/fwlink/?linkid=870924
Comment:
    assuming HELE with dry cooling</t>
      </text>
    </comment>
    <comment ref="H12" authorId="17" shapeId="0" xr:uid="{80E17520-9E72-4E8A-A05C-4BDD819B57BD}">
      <text>
        <t>[Threaded comment]
Your version of Excel allows you to read this threaded comment; however, any edits to it will get removed if the file is opened in a newer version of Excel. Learn more: https://go.microsoft.com/fwlink/?linkid=870924
Comment:
    assuming HELE with dry cooling with same CCS penalty as PF (as per EPRI)</t>
      </text>
    </comment>
    <comment ref="L13" authorId="18" shapeId="0" xr:uid="{50E1B3CC-E7F8-4756-B8F1-F2A55DEE3413}">
      <text>
        <t>[Threaded comment]
Your version of Excel allows you to read this threaded comment; however, any edits to it will get removed if the file is opened in a newer version of Excel. Learn more: https://go.microsoft.com/fwlink/?linkid=870924
Comment:
    project cost adjusted</t>
      </text>
    </comment>
    <comment ref="L14" authorId="19" shapeId="0" xr:uid="{D1460FF5-43B7-4027-B927-36AE83D0D10C}">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AX14" authorId="20" shapeId="0" xr:uid="{100A9025-3338-4128-A5FE-6C4E95C3F746}">
      <text>
        <r>
          <rPr>
            <b/>
            <sz val="9"/>
            <color indexed="81"/>
            <rFont val="Tahoma"/>
            <family val="2"/>
          </rPr>
          <t>bruno merven:</t>
        </r>
        <r>
          <rPr>
            <sz val="9"/>
            <color indexed="81"/>
            <rFont val="Tahoma"/>
            <family val="2"/>
          </rPr>
          <t xml:space="preserve">
DOE peaker project: Dedisa (Eastern Cape).
Updated November 2013: http://www.engineeringnews.co.za/article/department-of-energy-peaker-projects-south-africa-2013-09-06</t>
        </r>
      </text>
    </comment>
    <comment ref="AY14" authorId="20" shapeId="0" xr:uid="{C2885F71-95F1-43F1-8F30-507E9FA108C6}">
      <text>
        <r>
          <rPr>
            <b/>
            <sz val="9"/>
            <color indexed="81"/>
            <rFont val="Tahoma"/>
            <family val="2"/>
          </rPr>
          <t>bruno merven:</t>
        </r>
        <r>
          <rPr>
            <sz val="9"/>
            <color indexed="81"/>
            <rFont val="Tahoma"/>
            <family val="2"/>
          </rPr>
          <t xml:space="preserve">
DOE peaker project: Avon (Kwazulu-Natal)</t>
        </r>
      </text>
    </comment>
    <comment ref="H15" authorId="21" shapeId="0" xr:uid="{7856863C-AD0E-4552-86A3-DAE931CE4CE1}">
      <text>
        <t>[Threaded comment]
Your version of Excel allows you to read this threaded comment; however, any edits to it will get removed if the file is opened in a newer version of Excel. Learn more: https://go.microsoft.com/fwlink/?linkid=870924
Comment:
    Burton Ireland 2018.</t>
      </text>
    </comment>
    <comment ref="L15" authorId="22" shapeId="0" xr:uid="{F0FD37F5-0DC2-4BC3-B532-6EB32807C73F}">
      <text>
        <t>[Threaded comment]
Your version of Excel allows you to read this threaded comment; however, any edits to it will get removed if the file is opened in a newer version of Excel. Learn more: https://go.microsoft.com/fwlink/?linkid=870924
Comment:
    IRP 2019 + 10% ODC cost (compares well to Coal IPP study costs).</t>
      </text>
    </comment>
    <comment ref="L16" authorId="23" shapeId="0" xr:uid="{6AE0CE63-7BA1-4C0A-8ACF-0A39B05BDB4F}">
      <text>
        <t>[Threaded comment]
Your version of Excel allows you to read this threaded comment; however, any edits to it will get removed if the file is opened in a newer version of Excel. Learn more: https://go.microsoft.com/fwlink/?linkid=870924
Comment:
    IRP 2019 + 10% ODC cost</t>
      </text>
    </comment>
    <comment ref="M17" authorId="24" shapeId="0" xr:uid="{DF26B6BE-1508-4D0C-87C7-335CCFE6F371}">
      <text>
        <t>[Threaded comment]
Your version of Excel allows you to read this threaded comment; however, any edits to it will get removed if the file is opened in a newer version of Excel. Learn more: https://go.microsoft.com/fwlink/?linkid=870924
Comment:
    EPRI 2017, figure 4-1, first and last year combined.</t>
      </text>
    </comment>
    <comment ref="BH18" authorId="25" shapeId="0" xr:uid="{A0F8B7F6-A70E-4834-A845-111C475B4B8E}">
      <text>
        <t>[Threaded comment]
Your version of Excel allows you to read this threaded comment; however, any edits to it will get removed if the file is opened in a newer version of Excel. Learn more: https://go.microsoft.com/fwlink/?linkid=870924
Comment:
    ACWA Redstone project delayed - see https://www.acwapower.com/en/projects/redstone-csp-ipp/</t>
      </text>
    </comment>
    <comment ref="BG20" authorId="26" shapeId="0" xr:uid="{41C4CE3C-0BD7-41CC-8751-9D979346D33C}">
      <text>
        <t>[Threaded comment]
Your version of Excel allows you to read this threaded comment; however, any edits to it will get removed if the file is opened in a newer version of Excel. Learn more: https://go.microsoft.com/fwlink/?linkid=870924
Comment:
    NECOM v3.6</t>
      </text>
    </comment>
    <comment ref="BG21" authorId="27" shapeId="0" xr:uid="{82708746-1E5B-4D6F-BF30-71241C9253DC}">
      <text>
        <t>[Threaded comment]
Your version of Excel allows you to read this threaded comment; however, any edits to it will get removed if the file is opened in a newer version of Excel. Learn more: https://go.microsoft.com/fwlink/?linkid=870924
Comment:
    NECOM v3.6</t>
      </text>
    </comment>
    <comment ref="L22" authorId="28" shapeId="0" xr:uid="{BB998947-1EB5-47FF-BB6F-DFB49C7AF078}">
      <text>
        <t>[Threaded comment]
Your version of Excel allows you to read this threaded comment; however, any edits to it will get removed if the file is opened in a newer version of Excel. Learn more: https://go.microsoft.com/fwlink/?linkid=870924
Comment:
    2400$/kW from IRENA, 4$ billion for transmission (https://www.dailymaverick.co.za/article/2019-12-13-the-grand-inga-dam-project-poses-fiscal-risks-similar-to-the-controversial-arms-deal/#gsc.tab=0)</t>
      </text>
    </comment>
    <comment ref="V22" authorId="29" shapeId="0" xr:uid="{5D70DF5C-7E9C-4969-8A4F-A7AA3F2934C9}">
      <text>
        <t>[Threaded comment]
Your version of Excel allows you to read this threaded comment; however, any edits to it will get removed if the file is opened in a newer version of Excel. Learn more: https://go.microsoft.com/fwlink/?linkid=870924
Comment:
    IRENA model</t>
      </text>
    </comment>
    <comment ref="BG22" authorId="30" shapeId="0" xr:uid="{7BACB255-6CEF-4225-9668-53C719A98255}">
      <text>
        <t>[Threaded comment]
Your version of Excel allows you to read this threaded comment; however, any edits to it will get removed if the file is opened in a newer version of Excel. Learn more: https://go.microsoft.com/fwlink/?linkid=870924
Comment:
    NECOM v3.6</t>
      </text>
    </comment>
    <comment ref="AJ26" authorId="31" shapeId="0" xr:uid="{922210DF-5E4F-4E4B-891B-58660EC70BC1}">
      <text>
        <t>[Threaded comment]
Your version of Excel allows you to read this threaded comment; however, any edits to it will get removed if the file is opened in a newer version of Excel. Learn more: https://go.microsoft.com/fwlink/?linkid=870924
Comment:
    42 and 367 from EPRI 2017 table 9-1 KgCO2/MWh with and without CCS</t>
      </text>
    </comment>
    <comment ref="E28" authorId="32" shapeId="0" xr:uid="{D9B06297-94B2-45B1-ACD9-CE6F0905158A}">
      <text>
        <t>[Threaded comment]
Your version of Excel allows you to read this threaded comment; however, any edits to it will get removed if the file is opened in a newer version of Excel. Learn more: https://go.microsoft.com/fwlink/?linkid=870924
Comment:
    Centralised status given based on NERSA2018 data.</t>
      </text>
    </comment>
    <comment ref="K28" authorId="33" shapeId="0" xr:uid="{FEBD0A36-0CA4-4766-8225-6DC41F693D29}">
      <text>
        <t>[Threaded comment]
Your version of Excel allows you to read this threaded comment; however, any edits to it will get removed if the file is opened in a newer version of Excel. Learn more: https://go.microsoft.com/fwlink/?linkid=870924
Comment:
    from sugar study - Green Cape</t>
      </text>
    </comment>
    <comment ref="L28" authorId="34" shapeId="0" xr:uid="{F41503B7-4B4E-43CF-8259-59A9396185D5}">
      <text>
        <t>[Threaded comment]
Your version of Excel allows you to read this threaded comment; however, any edits to it will get removed if the file is opened in a newer version of Excel. Learn more: https://go.microsoft.com/fwlink/?linkid=870924
Comment:
    based on sugar study - MSc Nagel</t>
      </text>
    </comment>
    <comment ref="BG30" authorId="35" shapeId="0" xr:uid="{45135FA3-F7CF-4DED-8ED0-4139196F43A3}">
      <text>
        <t>[Threaded comment]
Your version of Excel allows you to read this threaded comment; however, any edits to it will get removed if the file is opened in a newer version of Excel. Learn more: https://go.microsoft.com/fwlink/?linkid=870924
Comment:
    NECOM v3.6</t>
      </text>
    </comment>
    <comment ref="L37" authorId="36" shapeId="0" xr:uid="{4623E544-BCF7-4F09-A23B-8041F0217FE4}">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L38" authorId="37" shapeId="0" xr:uid="{D709F018-B614-450C-88F8-A3E01A3881F9}">
      <text>
        <t>[Threaded comment]
Your version of Excel allows you to read this threaded comment; however, any edits to it will get removed if the file is opened in a newer version of Excel. Learn more: https://go.microsoft.com/fwlink/?linkid=870924
Comment:
    EPRI adjusted for inflation and 10% ODC</t>
      </text>
    </comment>
    <comment ref="J40" authorId="38" shapeId="0" xr:uid="{32EC87D1-8D46-4968-96C8-E648CE357CC8}">
      <text>
        <t>[Threaded comment]
Your version of Excel allows you to read this threaded comment; however, any edits to it will get removed if the file is opened in a newer version of Excel. Learn more: https://go.microsoft.com/fwlink/?linkid=870924
Comment:
    Roughly twice cost of OCGT</t>
      </text>
    </comment>
    <comment ref="AT40" authorId="39" shapeId="0" xr:uid="{9863EE6A-8012-4F45-BCFD-44BD47EF77C2}">
      <text>
        <t>[Threaded comment]
Your version of Excel allows you to read this threaded comment; however, any edits to it will get removed if the file is opened in a newer version of Excel. Learn more: https://go.microsoft.com/fwlink/?linkid=870924
Comment:
    From historical dispatch data</t>
      </text>
    </comment>
    <comment ref="J41" authorId="40" shapeId="0" xr:uid="{BC21BE5F-A36B-45E4-9E1D-EAC47E99706B}">
      <text>
        <t>[Threaded comment]
Your version of Excel allows you to read this threaded comment; however, any edits to it will get removed if the file is opened in a newer version of Excel. Learn more: https://go.microsoft.com/fwlink/?linkid=870924
Comment:
    Load shedding cost in 2019 adjusted to 2022 rands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tc={1F54CCE8-6710-43CF-91F7-46C86C4B0BC1}</author>
    <author>Ken Noble</author>
    <author>tc={EBB32ADC-7EC0-4A6F-9A05-AD69EC5F72F9}</author>
    <author>tc={BD6C9EB3-6E1E-4E55-BF06-B87540D1F46D}</author>
    <author>tc={E639A696-8AFD-4D0E-8F0E-2C80A7E10A4D}</author>
    <author>tc={9197BB82-9EEE-4EAB-AA32-4F02A494DF04}</author>
    <author>tc={58B53260-C3F1-4370-A07F-AA9E9B19A595}</author>
    <author>tc={4CEC68BA-BA55-4873-BE94-D8EB5E0DD9CC}</author>
    <author>tc={6E2A1556-2DAA-4712-9F30-914A0D3C12F6}</author>
    <author>tc={9AFE1E86-7769-49DF-8CC0-450DA07B02BA}</author>
    <author>tc={A47D6541-F7FE-4C0F-9425-208E5F2E9DD8}</author>
    <author>Bruno</author>
    <author>tc={6BF9A430-9C7D-4B5F-9E29-CF897AE81AB8}</author>
    <author>tc={4891AD26-F0AB-4ECA-8ECA-A52FBEFC13EC}</author>
  </authors>
  <commentList>
    <comment ref="P3" authorId="0" shapeId="0" xr:uid="{1F54CCE8-6710-43CF-91F7-46C86C4B0BC1}">
      <text>
        <t>[Threaded comment]
Your version of Excel allows you to read this threaded comment; however, any edits to it will get removed if the file is opened in a newer version of Excel. Learn more: https://go.microsoft.com/fwlink/?linkid=870924
Comment:
    Based on Work done by Greg on SATIM in 2018</t>
      </text>
    </comment>
    <comment ref="F7" authorId="1" shapeId="0" xr:uid="{73A8E772-1411-4C25-98AD-6720B1190F92}">
      <text>
        <r>
          <rPr>
            <sz val="8"/>
            <color indexed="81"/>
            <rFont val="Tahoma"/>
            <family val="2"/>
          </rPr>
          <t>If Process Activity is: Output-based, leave blank.
Input-based, insert I.</t>
        </r>
      </text>
    </comment>
    <comment ref="L9" authorId="2" shapeId="0" xr:uid="{EBB32ADC-7EC0-4A6F-9A05-AD69EC5F72F9}">
      <text>
        <t>[Threaded comment]
Your version of Excel allows you to read this threaded comment; however, any edits to it will get removed if the file is opened in a newer version of Excel. Learn more: https://go.microsoft.com/fwlink/?linkid=870924
Comment:
    Learning from CSIR applied to IRP 2017 cost</t>
      </text>
    </comment>
    <comment ref="N10" authorId="3" shapeId="0" xr:uid="{BD6C9EB3-6E1E-4E55-BF06-B87540D1F46D}">
      <text>
        <t>[Threaded comment]
Your version of Excel allows you to read this threaded comment; however, any edits to it will get removed if the file is opened in a newer version of Excel. Learn more: https://go.microsoft.com/fwlink/?linkid=870924
Comment:
    ratio used in IRP 2019
Reply:
    IRP 2019 has 85% for ratio. After discussion with Greg, I'm now applying the ratio found in NREL 2018 - see chart below.</t>
      </text>
    </comment>
    <comment ref="L11" authorId="4" shapeId="0" xr:uid="{E639A696-8AFD-4D0E-8F0E-2C80A7E10A4D}">
      <text>
        <t>[Threaded comment]
Your version of Excel allows you to read this threaded comment; however, any edits to it will get removed if the file is opened in a newer version of Excel. Learn more: https://go.microsoft.com/fwlink/?linkid=870924
Comment:
    Ireland et al 2018, Reference Costs</t>
      </text>
    </comment>
    <comment ref="L13" authorId="5" shapeId="0" xr:uid="{9197BB82-9EEE-4EAB-AA32-4F02A494DF04}">
      <text>
        <t>[Threaded comment]
Your version of Excel allows you to read this threaded comment; however, any edits to it will get removed if the file is opened in a newer version of Excel. Learn more: https://go.microsoft.com/fwlink/?linkid=870924
Comment:
    NREL 2020</t>
      </text>
    </comment>
    <comment ref="N15" authorId="6" shapeId="0" xr:uid="{58B53260-C3F1-4370-A07F-AA9E9B19A595}">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N16" authorId="7" shapeId="0" xr:uid="{4CEC68BA-BA55-4873-BE94-D8EB5E0DD9CC}">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N17" authorId="8" shapeId="0" xr:uid="{6E2A1556-2DAA-4712-9F30-914A0D3C12F6}">
      <text>
        <t>[Threaded comment]
Your version of Excel allows you to read this threaded comment; however, any edits to it will get removed if the file is opened in a newer version of Excel. Learn more: https://go.microsoft.com/fwlink/?linkid=870924
Comment:
    Black River Park installation</t>
      </text>
    </comment>
    <comment ref="G22" authorId="9" shapeId="0" xr:uid="{9AFE1E86-7769-49DF-8CC0-450DA07B02BA}">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G24" authorId="10" shapeId="0" xr:uid="{A47D6541-F7FE-4C0F-9425-208E5F2E9DD8}">
      <text>
        <t>[Threaded comment]
Your version of Excel allows you to read this threaded comment; however, any edits to it will get removed if the file is opened in a newer version of Excel. Learn more: https://go.microsoft.com/fwlink/?linkid=870924
Comment:
    REIPPP round 4 tariff</t>
      </text>
    </comment>
    <comment ref="J29" authorId="11" shapeId="0" xr:uid="{4037CAA2-05FF-4C4B-9DF3-D41A53BC214C}">
      <text>
        <r>
          <rPr>
            <b/>
            <sz val="9"/>
            <color indexed="81"/>
            <rFont val="Tahoma"/>
            <family val="2"/>
          </rPr>
          <t>Bruno:</t>
        </r>
        <r>
          <rPr>
            <sz val="9"/>
            <color indexed="81"/>
            <rFont val="Tahoma"/>
            <family val="2"/>
          </rPr>
          <t xml:space="preserve">
Remember to switch this back to 1 when importing into model.</t>
        </r>
      </text>
    </comment>
    <comment ref="K29" authorId="12" shapeId="0" xr:uid="{6BF9A430-9C7D-4B5F-9E29-CF897AE81AB8}">
      <text>
        <t>[Threaded comment]
Your version of Excel allows you to read this threaded comment; however, any edits to it will get removed if the file is opened in a newer version of Excel. Learn more: https://go.microsoft.com/fwlink/?linkid=870924
Comment:
    convert from 2022 to 2021 Rands</t>
      </text>
    </comment>
    <comment ref="H33" authorId="13" shapeId="0" xr:uid="{4891AD26-F0AB-4ECA-8ECA-A52FBEFC13EC}">
      <text>
        <t>[Threaded comment]
Your version of Excel allows you to read this threaded comment; however, any edits to it will get removed if the file is opened in a newer version of Excel. Learn more: https://go.microsoft.com/fwlink/?linkid=870924
Comment:
    Wright 2020Full Report:  - Table 9, assuming 2018-2019avg as they're using Jan2019 rands.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tc={1DF61BD1-697E-4916-9D38-3FB010E47596}</author>
    <author>tc={AEC13AFA-5FD1-4743-BF8A-C83225FDE194}</author>
    <author>tc={AE0F02EE-11A8-451D-88AE-BB0DD2550895}</author>
    <author>tc={A144B160-4BB6-40B0-8367-AC08293BECF8}</author>
    <author>tc={C9388E62-5011-4971-A3AF-8E47984B5064}</author>
    <author>tc={EEFD0FC8-A772-44C3-BC33-4E3AB1CF70BD}</author>
  </authors>
  <commentList>
    <comment ref="L3" authorId="0" shapeId="0" xr:uid="{1DF61BD1-697E-4916-9D38-3FB010E47596}">
      <text>
        <t>[Threaded comment]
Your version of Excel allows you to read this threaded comment; however, any edits to it will get removed if the file is opened in a newer version of Excel. Learn more: https://go.microsoft.com/fwlink/?linkid=870924
Comment:
    This needs to be updated once profiles have been calibrated.</t>
      </text>
    </comment>
    <comment ref="O3" authorId="1" shapeId="0" xr:uid="{AEC13AFA-5FD1-4743-BF8A-C83225FDE194}">
      <text>
        <t>[Threaded comment]
Your version of Excel allows you to read this threaded comment; however, any edits to it will get removed if the file is opened in a newer version of Excel. Learn more: https://go.microsoft.com/fwlink/?linkid=870924
Comment:
    -ve lead times means that capacity will show +ve the year NCAP is +ve</t>
      </text>
    </comment>
    <comment ref="P3" authorId="2" shapeId="0" xr:uid="{AE0F02EE-11A8-451D-88AE-BB0DD2550895}">
      <text>
        <t>[Threaded comment]
Your version of Excel allows you to read this threaded comment; however, any edits to it will get removed if the file is opened in a newer version of Excel. Learn more: https://go.microsoft.com/fwlink/?linkid=870924
Comment:
    Taken from EPRI 2017, except if stated otherwise</t>
      </text>
    </comment>
    <comment ref="F5" authorId="3" shapeId="0" xr:uid="{A144B160-4BB6-40B0-8367-AC08293BECF8}">
      <text>
        <t>[Threaded comment]
Your version of Excel allows you to read this threaded comment; however, any edits to it will get removed if the file is opened in a newer version of Excel. Learn more: https://go.microsoft.com/fwlink/?linkid=870924
Comment:
    See Energy Balance for assumptions</t>
      </text>
    </comment>
    <comment ref="J7" authorId="4" shapeId="0" xr:uid="{C9388E62-5011-4971-A3AF-8E47984B5064}">
      <text>
        <t>[Threaded comment]
Your version of Excel allows you to read this threaded comment; however, any edits to it will get removed if the file is opened in a newer version of Excel. Learn more: https://go.microsoft.com/fwlink/?linkid=870924
Comment:
    Previous value updated to 2022 rands</t>
      </text>
    </comment>
    <comment ref="R7" authorId="5" shapeId="0" xr:uid="{EEFD0FC8-A772-44C3-BC33-4E3AB1CF70BD}">
      <text>
        <t>[Threaded comment]
Your version of Excel allows you to read this threaded comment; however, any edits to it will get removed if the file is opened in a newer version of Excel. Learn more: https://go.microsoft.com/fwlink/?linkid=870924
Comment:
    From Eskom 2021 Integrated Report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tc={D98CC26F-E1AF-4C2C-8230-0AFBDA8EF773}</author>
    <author>tc={A079F88E-4461-4EF0-A61C-2F2A1CE62100}</author>
    <author>tc={34601E05-E89B-466C-AD4F-EC365D90D14B}</author>
  </authors>
  <commentList>
    <comment ref="K6" authorId="0" shapeId="0" xr:uid="{D98CC26F-E1AF-4C2C-8230-0AFBDA8EF773}">
      <text>
        <t>[Threaded comment]
Your version of Excel allows you to read this threaded comment; however, any edits to it will get removed if the file is opened in a newer version of Excel. Learn more: https://go.microsoft.com/fwlink/?linkid=870924
Comment:
    From inventory, assuming constant opencast vs underground ratios in ktonCO2/mton coal. This could be improved in the future, given info about each type of mine.</t>
      </text>
    </comment>
    <comment ref="G9" authorId="1" shapeId="0" xr:uid="{A079F88E-4461-4EF0-A61C-2F2A1CE62100}">
      <text>
        <t>[Threaded comment]
Your version of Excel allows you to read this threaded comment; however, any edits to it will get removed if the file is opened in a newer version of Excel. Learn more: https://go.microsoft.com/fwlink/?linkid=870924
Comment:
    old price (updated 2020)</t>
      </text>
    </comment>
    <comment ref="J18" authorId="2" shapeId="0" xr:uid="{34601E05-E89B-466C-AD4F-EC365D90D14B}">
      <text>
        <t>[Threaded comment]
Your version of Excel allows you to read this threaded comment; however, any edits to it will get removed if the file is opened in a newer version of Excel. Learn more: https://go.microsoft.com/fwlink/?linkid=870924
Comment:
    https://www.miningmx.com/news/energy/40797-seriti-resources-coal-deal-with-eskoms-kusile-still-18-months-away/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tc={5DCBE09B-295A-4D59-9C2F-8C5CEF3205D1}</author>
    <author>tc={4ACEC37D-4D21-4834-9151-E482CA5D7406}</author>
    <author>tc={7F3448DE-6F00-46D7-9F92-CFF05DF2789F}</author>
    <author>tc={0E2D27E3-DA02-4D89-A7F4-0AE103F2C559}</author>
    <author>tc={91C43A46-94A3-4BB1-8CA2-31BA597EC2CE}</author>
    <author>tc={FCDBB584-853D-43F5-B229-60FDF10EA7AE}</author>
    <author>tc={05605B42-A5A7-4160-8E09-B8A57C48EC36}</author>
    <author>tc={EB2CD911-7F62-4EFB-BA96-E7D7336B8354}</author>
  </authors>
  <commentList>
    <comment ref="J4" authorId="0" shapeId="0" xr:uid="{5DCBE09B-295A-4D59-9C2F-8C5CEF3205D1}">
      <text>
        <t>[Threaded comment]
Your version of Excel allows you to read this threaded comment; however, any edits to it will get removed if the file is opened in a newer version of Excel. Learn more: https://go.microsoft.com/fwlink/?linkid=870924
Comment:
    From Inventory</t>
      </text>
    </comment>
    <comment ref="K7" authorId="1" shapeId="0" xr:uid="{4ACEC37D-4D21-4834-9151-E482CA5D7406}">
      <text>
        <t>[Threaded comment]
Your version of Excel allows you to read this threaded comment; however, any edits to it will get removed if the file is opened in a newer version of Excel. Learn more: https://go.microsoft.com/fwlink/?linkid=870924
Comment:
    From model run</t>
      </text>
    </comment>
    <comment ref="M13" authorId="2" shapeId="0" xr:uid="{7F3448DE-6F00-46D7-9F92-CFF05DF2789F}">
      <text>
        <t>[Threaded comment]
Your version of Excel allows you to read this threaded comment; however, any edits to it will get removed if the file is opened in a newer version of Excel. Learn more: https://go.microsoft.com/fwlink/?linkid=870924
Comment:
    not counted in Eskom data on auxiliary flows.</t>
      </text>
    </comment>
    <comment ref="N13" authorId="3" shapeId="0" xr:uid="{0E2D27E3-DA02-4D89-A7F4-0AE103F2C559}">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N17" authorId="4" shapeId="0" xr:uid="{91C43A46-94A3-4BB1-8CA2-31BA597EC2CE}">
      <text>
        <t>[Threaded comment]
Your version of Excel allows you to read this threaded comment; however, any edits to it will get removed if the file is opened in a newer version of Excel. Learn more: https://go.microsoft.com/fwlink/?linkid=870924
Comment:
    Assumes with FGD</t>
      </text>
    </comment>
    <comment ref="N23" authorId="5" shapeId="0" xr:uid="{FCDBB584-853D-43F5-B229-60FDF10EA7AE}">
      <text>
        <t>[Threaded comment]
Your version of Excel allows you to read this threaded comment; however, any edits to it will get removed if the file is opened in a newer version of Excel. Learn more: https://go.microsoft.com/fwlink/?linkid=870924
Comment:
    Assumes without FGD</t>
      </text>
    </comment>
    <comment ref="N25" authorId="6" shapeId="0" xr:uid="{05605B42-A5A7-4160-8E09-B8A57C48EC36}">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 ref="N26" authorId="7" shapeId="0" xr:uid="{EB2CD911-7F62-4EFB-BA96-E7D7336B8354}">
      <text>
        <t>[Threaded comment]
Your version of Excel allows you to read this threaded comment; however, any edits to it will get removed if the file is opened in a newer version of Excel. Learn more: https://go.microsoft.com/fwlink/?linkid=870924
Comment:
    no Reference Data Available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F7" authorId="0" shapeId="0" xr:uid="{7E6C4C0B-1647-4901-9CA7-1DB28D4A3CF2}">
      <text>
        <r>
          <rPr>
            <sz val="8"/>
            <color indexed="81"/>
            <rFont val="Tahoma"/>
            <family val="2"/>
          </rPr>
          <t>If Process Activity is: Output-based, leave blank.
Input-based, insert I.</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Bruno</author>
    <author>tc={718FD278-0E2B-43AD-860B-AF3942D78DA3}</author>
    <author>tc={4D395F4C-A11C-4668-B9FF-0EFA6000ED97}</author>
    <author>tc={2F896CA9-4D7A-4896-8432-01F42F9DDCFA}</author>
    <author>tc={ECEABD59-50F9-41DA-BBA9-E8D90662A09D}</author>
    <author>tc={119D13ED-ECD4-407B-8C8B-2367941BDC01}</author>
  </authors>
  <commentList>
    <comment ref="O30" authorId="0" shapeId="0" xr:uid="{5B92F2CD-C805-4A49-8493-79DA239DBF21}">
      <text>
        <r>
          <rPr>
            <b/>
            <sz val="9"/>
            <color indexed="81"/>
            <rFont val="Tahoma"/>
            <family val="2"/>
          </rPr>
          <t>Bruno:</t>
        </r>
        <r>
          <rPr>
            <sz val="9"/>
            <color indexed="81"/>
            <rFont val="Tahoma"/>
            <family val="2"/>
          </rPr>
          <t xml:space="preserve">
from model</t>
        </r>
      </text>
    </comment>
    <comment ref="I38" authorId="1" shapeId="0" xr:uid="{718FD278-0E2B-43AD-860B-AF3942D78DA3}">
      <text>
        <t>[Threaded comment]
Your version of Excel allows you to read this threaded comment; however, any edits to it will get removed if the file is opened in a newer version of Excel. Learn more: https://go.microsoft.com/fwlink/?linkid=870924
Comment:
    Ownership change in 2021 - https://www.miningweekly.com/article/new-seriti-power-name-indicative-of-coal-companys-general-energy-vision-teke-2021-05-17</t>
      </text>
    </comment>
    <comment ref="N47" authorId="2" shapeId="0" xr:uid="{4D395F4C-A11C-4668-B9FF-0EFA6000ED97}">
      <text>
        <t>[Threaded comment]
Your version of Excel allows you to read this threaded comment; however, any edits to it will get removed if the file is opened in a newer version of Excel. Learn more: https://go.microsoft.com/fwlink/?linkid=870924
Comment:
    From Coal contract database (Meridian?)</t>
      </text>
    </comment>
    <comment ref="P47" authorId="3" shapeId="0" xr:uid="{2F896CA9-4D7A-4896-8432-01F42F9DDCFA}">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R47" authorId="4" shapeId="0" xr:uid="{ECEABD59-50F9-41DA-BBA9-E8D90662A09D}">
      <text>
        <t>[Threaded comment]
Your version of Excel allows you to read this threaded comment; however, any edits to it will get removed if the file is opened in a newer version of Excel. Learn more: https://go.microsoft.com/fwlink/?linkid=870924
Comment:
    From Coal contracts database (Meridian?)</t>
      </text>
    </comment>
    <comment ref="V47" authorId="5" shapeId="0" xr:uid="{119D13ED-ECD4-407B-8C8B-2367941BDC01}">
      <text>
        <t>[Threaded comment]
Your version of Excel allows you to read this threaded comment; however, any edits to it will get removed if the file is opened in a newer version of Excel. Learn more: https://go.microsoft.com/fwlink/?linkid=870924
Comment:
    20billion 2019 rands for 12 million tons/year.</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tc={A547D2B1-1EE0-45CB-A041-A50B2BD05700}</author>
    <author>tc={85951D82-B698-42D9-AA25-753AC92E553A}</author>
    <author>tc={78BFD2E4-E29C-43F0-94B0-8791B897BB43}</author>
    <author>fadiel</author>
  </authors>
  <commentList>
    <comment ref="P14" authorId="0" shapeId="0" xr:uid="{A547D2B1-1EE0-45CB-A041-A50B2BD05700}">
      <text>
        <t>[Threaded comment]
Your version of Excel allows you to read this threaded comment; however, any edits to it will get removed if the file is opened in a newer version of Excel. Learn more: https://go.microsoft.com/fwlink/?linkid=870924
Comment:
    pers.comms.Alwyn van der Merwe ~ 5mtons in 2017.</t>
      </text>
    </comment>
    <comment ref="V14" authorId="1" shapeId="0" xr:uid="{85951D82-B698-42D9-AA25-753AC92E553A}">
      <text>
        <t>[Threaded comment]
Your version of Excel allows you to read this threaded comment; however, any edits to it will get removed if the file is opened in a newer version of Excel. Learn more: https://go.microsoft.com/fwlink/?linkid=870924
Comment:
    From IRP</t>
      </text>
    </comment>
    <comment ref="P34" authorId="2" shapeId="0" xr:uid="{78BFD2E4-E29C-43F0-94B0-8791B897BB43}">
      <text>
        <t>[Threaded comment]
Your version of Excel allows you to read this threaded comment; however, any edits to it will get removed if the file is opened in a newer version of Excel. Learn more: https://go.microsoft.com/fwlink/?linkid=870924
Comment:
    From Alwyn vdMerwe, but seems out of sync with Medupi number.</t>
      </text>
    </comment>
    <comment ref="K43" authorId="3" shapeId="0" xr:uid="{AE0E8D8E-BD17-470B-B2A9-7EA7CACFDDA8}">
      <text>
        <r>
          <rPr>
            <b/>
            <sz val="9"/>
            <color indexed="81"/>
            <rFont val="Tahoma"/>
            <family val="2"/>
          </rPr>
          <t>fadiel:</t>
        </r>
        <r>
          <rPr>
            <sz val="9"/>
            <color indexed="81"/>
            <rFont val="Tahoma"/>
            <family val="2"/>
          </rPr>
          <t xml:space="preserve">
"E:\eskom data\Power Station Data 23April 2014 [eskom].xls</t>
        </r>
      </text>
    </comment>
    <comment ref="K49" authorId="3" shapeId="0" xr:uid="{A88D04F4-E573-4063-8982-26529D45BB70}">
      <text>
        <r>
          <rPr>
            <b/>
            <sz val="9"/>
            <color indexed="81"/>
            <rFont val="Tahoma"/>
            <family val="2"/>
          </rPr>
          <t xml:space="preserve">fadiel:
</t>
        </r>
        <r>
          <rPr>
            <sz val="9"/>
            <color indexed="81"/>
            <rFont val="Tahoma"/>
            <family val="2"/>
          </rPr>
          <t>From Jesse/Tara: coal database/contracts 
original eskom data reported 10.33 MJ/kg for 2013/14 seems erroneous.</t>
        </r>
        <r>
          <rPr>
            <b/>
            <sz val="9"/>
            <color indexed="81"/>
            <rFont val="Tahoma"/>
            <family val="2"/>
          </rPr>
          <t xml:space="preserve">
</t>
        </r>
        <r>
          <rPr>
            <sz val="9"/>
            <color indexed="81"/>
            <rFont val="Tahoma"/>
            <family val="2"/>
          </rPr>
          <t xml:space="preserve">
? A unique aspect of Lethabo is the unusually low grade and quality of coal that is burnt in the power generation process. The coal burnt has an average calorific value of about </t>
        </r>
        <r>
          <rPr>
            <b/>
            <sz val="9"/>
            <color indexed="81"/>
            <rFont val="Tahoma"/>
            <family val="2"/>
          </rPr>
          <t>16 MJ/kg</t>
        </r>
        <r>
          <rPr>
            <sz val="9"/>
            <color indexed="81"/>
            <rFont val="Tahoma"/>
            <family val="2"/>
          </rPr>
          <t>.
http://www.eskom.co.za/Whatweredoing/ElectricityGeneration/PowerStations/Pages/Lethabo_Power_Station.aspx</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tc={27795F3D-0992-4CBE-A35F-FE944A6CBDB1}</author>
    <author>tc={72784821-B323-462A-ABD8-586C7685A88E}</author>
    <author>tc={FE695E8C-356E-4088-BD2F-4F43564913AC}</author>
  </authors>
  <commentList>
    <comment ref="D4" authorId="0" shapeId="0" xr:uid="{27795F3D-0992-4CBE-A35F-FE944A6CBDB1}">
      <text>
        <t>[Threaded comment]
Your version of Excel allows you to read this threaded comment; however, any edits to it will get removed if the file is opened in a newer version of Excel. Learn more: https://go.microsoft.com/fwlink/?linkid=870924
Comment:
    Updated MTSAO 2022</t>
      </text>
    </comment>
    <comment ref="E5" authorId="1" shapeId="0" xr:uid="{72784821-B323-462A-ABD8-586C7685A88E}">
      <text>
        <t>[Threaded comment]
Your version of Excel allows you to read this threaded comment; however, any edits to it will get removed if the file is opened in a newer version of Excel. Learn more: https://go.microsoft.com/fwlink/?linkid=870924
Comment:
    Updated from MTSAO 2022</t>
      </text>
    </comment>
    <comment ref="C6" authorId="2" shapeId="0" xr:uid="{FE695E8C-356E-4088-BD2F-4F43564913AC}">
      <text>
        <t>[Threaded comment]
Your version of Excel allows you to read this threaded comment; however, any edits to it will get removed if the file is opened in a newer version of Excel. Learn more: https://go.microsoft.com/fwlink/?linkid=870924
Comment:
    taken from ppt and 
not from 28 April letter.</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tc={B6D8EF6C-3BF5-4EF2-A539-E49AD5F5054B}</author>
  </authors>
  <commentList>
    <comment ref="H107" authorId="0" shapeId="0" xr:uid="{B6D8EF6C-3BF5-4EF2-A539-E49AD5F5054B}">
      <text>
        <t>[Threaded comment]
Your version of Excel allows you to read this threaded comment; however, any edits to it will get removed if the file is opened in a newer version of Excel. Learn more: https://go.microsoft.com/fwlink/?linkid=870924
Comment:
    fixed this to make it equal to 2018 value as 2017 value seems to show per unit and not total capacity</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L144" authorId="0" shapeId="0" xr:uid="{4AF5035F-0B3A-4987-B0C6-756A3FD55868}">
      <text>
        <r>
          <rPr>
            <sz val="12"/>
            <color theme="1"/>
            <rFont val="Arial"/>
            <family val="2"/>
          </rPr>
          <t>observed in Sugar industry
	-Bruno Merven</t>
        </r>
      </text>
    </comment>
    <comment ref="K147" authorId="0" shapeId="0" xr:uid="{75D44883-6B94-49A8-A31A-04549EB3B7D5}">
      <text>
        <r>
          <rPr>
            <sz val="12"/>
            <color theme="1"/>
            <rFont val="Arial"/>
            <family val="2"/>
          </rPr>
          <t>from sugar study
	-Bruno Merven</t>
        </r>
      </text>
    </comment>
    <comment ref="N147" authorId="0" shapeId="0" xr:uid="{61A9B17C-C8A6-41D3-99C6-BD4FB884CFF0}">
      <text>
        <r>
          <rPr>
            <sz val="12"/>
            <color theme="1"/>
            <rFont val="Arial"/>
            <family val="2"/>
          </rPr>
          <t>sugar study
	-Bruno Merven</t>
        </r>
      </text>
    </comment>
    <comment ref="O147" authorId="0" shapeId="0" xr:uid="{76DC4339-D3E8-46D0-9F0C-49B9FEACC713}">
      <text>
        <r>
          <rPr>
            <sz val="12"/>
            <color theme="1"/>
            <rFont val="Arial"/>
            <family val="2"/>
          </rPr>
          <t>sugar study
	-Bruno Merven</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138" authorId="0" shapeId="0" xr:uid="{0AFC6241-0BE8-0847-8C64-88B560FA1D30}">
      <text>
        <r>
          <rPr>
            <b/>
            <sz val="10"/>
            <color rgb="FF000000"/>
            <rFont val="Tahoma"/>
            <family val="2"/>
          </rPr>
          <t>Microsoft Office User:</t>
        </r>
        <r>
          <rPr>
            <sz val="10"/>
            <color rgb="FF000000"/>
            <rFont val="Tahoma"/>
            <family val="2"/>
          </rPr>
          <t xml:space="preserve">
</t>
        </r>
        <r>
          <rPr>
            <sz val="10"/>
            <color rgb="FF000000"/>
            <rFont val="Tahoma"/>
            <family val="2"/>
          </rPr>
          <t xml:space="preserve">This INCLUDES SERE (eskom) added this year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tc={F9430675-0C93-4B93-A8E0-AF2F40A81458}</author>
  </authors>
  <commentList>
    <comment ref="G37" authorId="0" shapeId="0" xr:uid="{F9430675-0C93-4B93-A8E0-AF2F40A81458}">
      <text>
        <t xml:space="preserve">[Threaded comment]
Your version of Excel allows you to read this threaded comment; however, any edits to it will get removed if the file is opened in a newer version of Excel. Learn more: https://go.microsoft.com/fwlink/?linkid=870924
Comment:
    This is confirmed by: https://www.greenagri.org.za/tips-and-tools/energy/renewable-energy-in-agriculture/#:~:text=10%25%20of%20all%20installed%20PV,to%20grow%20at%2010%25%20annually. </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tc={BBBB1DD1-48F1-4908-A60F-EE321008A3F3}</author>
    <author>tc={2EAC4F65-6933-4C14-9C90-51A9D9B368F4}</author>
    <author>tc={88734E0C-9DD9-4EC2-A5CB-AC7BC787C3F8}</author>
    <author>tc={E97246C9-8CA0-49DC-AF1F-5EEABB208692}</author>
    <author>tc={7575FBFB-CA3F-46EA-BE1E-50B42BA24576}</author>
  </authors>
  <commentList>
    <comment ref="G4" authorId="0" shapeId="0" xr:uid="{BBBB1DD1-48F1-4908-A60F-EE321008A3F3}">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L4" authorId="1" shapeId="0" xr:uid="{2EAC4F65-6933-4C14-9C90-51A9D9B368F4}">
      <text>
        <t>[Threaded comment]
Your version of Excel allows you to read this threaded comment; however, any edits to it will get removed if the file is opened in a newer version of Excel. Learn more: https://go.microsoft.com/fwlink/?linkid=870924
Comment:
    Added in from EPRI report</t>
      </text>
    </comment>
    <comment ref="AA4" authorId="2" shapeId="0" xr:uid="{88734E0C-9DD9-4EC2-A5CB-AC7BC787C3F8}">
      <text>
        <t>[Threaded comment]
Your version of Excel allows you to read this threaded comment; however, any edits to it will get removed if the file is opened in a newer version of Excel. Learn more: https://go.microsoft.com/fwlink/?linkid=870924
Comment:
    it looks like the 3 hour storage costs got switched with the 9 hour storage costs!</t>
      </text>
    </comment>
    <comment ref="B6" authorId="3" shapeId="0" xr:uid="{E97246C9-8CA0-49DC-AF1F-5EEABB208692}">
      <text>
        <t>[Threaded comment]
Your version of Excel allows you to read this threaded comment; however, any edits to it will get removed if the file is opened in a newer version of Excel. Learn more: https://go.microsoft.com/fwlink/?linkid=870924
Comment:
    this is taken directly from 2017 EPRI report in Table 7-2 last column.</t>
      </text>
    </comment>
    <comment ref="T16" authorId="4" shapeId="0" xr:uid="{7575FBFB-CA3F-46EA-BE1E-50B42BA24576}">
      <text>
        <t>[Threaded comment]
Your version of Excel allows you to read this threaded comment; however, any edits to it will get removed if the file is opened in a newer version of Excel. Learn more: https://go.microsoft.com/fwlink/?linkid=870924
Comment:
    ODC already included in cost estimates coming from REIPPP</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tc={DADACDEC-E4DD-44F6-B879-1B7652A956E6}</author>
  </authors>
  <commentList>
    <comment ref="I10" authorId="0" shapeId="0" xr:uid="{DADACDEC-E4DD-44F6-B879-1B7652A956E6}">
      <text>
        <t>[Threaded comment]
Your version of Excel allows you to read this threaded comment; however, any edits to it will get removed if the file is opened in a newer version of Excel. Learn more: https://go.microsoft.com/fwlink/?linkid=870924
Comment:
    https://www.miningweekly.com/article/pumped-storage-has-potential-to-throw-hillside-aluminium-green-lifeline-2022-01-10</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tc={D8DBDB9B-92EE-4C3D-AD73-7DBFCAFE9440}</author>
    <author>tc={5CE5CC8C-47B6-4A82-B1EC-3BDFEB2C40A8}</author>
  </authors>
  <commentList>
    <comment ref="I40" authorId="0" shapeId="0" xr:uid="{D8DBDB9B-92EE-4C3D-AD73-7DBFCAFE9440}">
      <text>
        <t>[Threaded comment]
Your version of Excel allows you to read this threaded comment; however, any edits to it will get removed if the file is opened in a newer version of Excel. Learn more: https://go.microsoft.com/fwlink/?linkid=870924
Comment:
    with tracking check</t>
      </text>
    </comment>
    <comment ref="I42" authorId="1" shapeId="0" xr:uid="{5CE5CC8C-47B6-4A82-B1EC-3BDFEB2C40A8}">
      <text>
        <t>[Threaded comment]
Your version of Excel allows you to read this threaded comment; however, any edits to it will get removed if the file is opened in a newer version of Excel. Learn more: https://go.microsoft.com/fwlink/?linkid=870924
Comment:
    slide 30 check</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tc={836703D0-C60E-4DC3-A210-714A26466922}</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836703D0-C60E-4DC3-A210-714A26466922}">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G7" authorId="0" shapeId="0" xr:uid="{00000000-0006-0000-0C00-000001000000}">
      <text>
        <r>
          <rPr>
            <sz val="8"/>
            <color indexed="81"/>
            <rFont val="Tahoma"/>
            <family val="2"/>
          </rPr>
          <t>If Process Activity is: Output-based, leave blank.
Input-based, insert I.</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Ken Noble</author>
  </authors>
  <commentList>
    <comment ref="D7" authorId="0" shapeId="0" xr:uid="{00000000-0006-0000-1D00-000001000000}">
      <text>
        <r>
          <rPr>
            <b/>
            <sz val="8"/>
            <color indexed="81"/>
            <rFont val="Tahoma"/>
            <family val="2"/>
          </rPr>
          <t>Ken Noble:</t>
        </r>
        <r>
          <rPr>
            <sz val="8"/>
            <color indexed="81"/>
            <rFont val="Tahoma"/>
            <family val="2"/>
          </rPr>
          <t xml:space="preserve">
Retain Units column as optional?  Hide the column?</t>
        </r>
      </text>
    </comment>
    <comment ref="V7" authorId="0" shapeId="0" xr:uid="{00000000-0006-0000-1D00-000002000000}">
      <text>
        <r>
          <rPr>
            <sz val="8"/>
            <color indexed="81"/>
            <rFont val="Tahoma"/>
            <family val="2"/>
          </rPr>
          <t>Parameter UC_CUMCOMNET is a TID parameter.</t>
        </r>
      </text>
    </comment>
    <comment ref="W7" authorId="0" shapeId="0" xr:uid="{00000000-0006-0000-1D00-000003000000}">
      <text>
        <r>
          <rPr>
            <sz val="8"/>
            <color indexed="81"/>
            <rFont val="Tahoma"/>
            <family val="2"/>
          </rPr>
          <t>Parameter UC_CUMACT is a TID parameter.</t>
        </r>
      </text>
    </comment>
    <comment ref="X7" authorId="0" shapeId="0" xr:uid="{00000000-0006-0000-1D00-000004000000}">
      <text>
        <r>
          <rPr>
            <sz val="8"/>
            <color indexed="81"/>
            <rFont val="Tahoma"/>
            <family val="2"/>
          </rPr>
          <t>Parameter UC_CUMFLO is a TID parameter.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<sst xmlns="http://schemas.openxmlformats.org/spreadsheetml/2006/main" count="8508" uniqueCount="2563">
  <si>
    <t>Comment</t>
  </si>
  <si>
    <t>Set Memberships</t>
  </si>
  <si>
    <t>Parameter</t>
  </si>
  <si>
    <t>Arg1</t>
  </si>
  <si>
    <t>Arg2</t>
  </si>
  <si>
    <t>Arg3</t>
  </si>
  <si>
    <t>Arg4</t>
  </si>
  <si>
    <t>Arg5</t>
  </si>
  <si>
    <t>Arg6</t>
  </si>
  <si>
    <t>I/E Opt</t>
  </si>
  <si>
    <t>ANSWER-TS DATA</t>
  </si>
  <si>
    <t>ANSWER-TS TRADE</t>
  </si>
  <si>
    <t>ANSWER-TID TRADE</t>
  </si>
  <si>
    <t>Comp</t>
  </si>
  <si>
    <t>Name</t>
  </si>
  <si>
    <t>Description</t>
  </si>
  <si>
    <t>Region</t>
  </si>
  <si>
    <t>_GLOBAL</t>
  </si>
  <si>
    <t>Special region for data parameters with no REG arg</t>
  </si>
  <si>
    <t>ALL_REG</t>
  </si>
  <si>
    <t>Unit(s)</t>
  </si>
  <si>
    <t>Value</t>
  </si>
  <si>
    <t>I/E Opt
or Value</t>
  </si>
  <si>
    <t>ANSWER-TID DATA</t>
  </si>
  <si>
    <t>Region2</t>
  </si>
  <si>
    <t>* Pre-defined Commodity Groups (cell A10 should contain comma-delimited list of all Internal Regions)</t>
  </si>
  <si>
    <t>D</t>
  </si>
  <si>
    <t>ACTGRP</t>
  </si>
  <si>
    <t>Activity-related Group</t>
  </si>
  <si>
    <t>COM_GRP,COM_GRPDEF</t>
  </si>
  <si>
    <t>DEM</t>
  </si>
  <si>
    <t>Demand Commodity Type</t>
  </si>
  <si>
    <t>ENV</t>
  </si>
  <si>
    <t>Environmental Commodity Type</t>
  </si>
  <si>
    <t>FIN</t>
  </si>
  <si>
    <t>Financial Commodity Type</t>
  </si>
  <si>
    <t>MAT</t>
  </si>
  <si>
    <t>Material Commodity Type</t>
  </si>
  <si>
    <t>NRG</t>
  </si>
  <si>
    <t>Energy Commodity Type</t>
  </si>
  <si>
    <t>CommName</t>
  </si>
  <si>
    <t>CommDesc</t>
  </si>
  <si>
    <t>CommUnit</t>
  </si>
  <si>
    <t>Units</t>
  </si>
  <si>
    <t>TID</t>
  </si>
  <si>
    <t>TimeSlice</t>
  </si>
  <si>
    <t>ConstrName</t>
  </si>
  <si>
    <t>ConstrDesc</t>
  </si>
  <si>
    <t>UC_R_EACH</t>
  </si>
  <si>
    <t>UC_TS_EACH</t>
  </si>
  <si>
    <t>UC_CUMCOMNET</t>
  </si>
  <si>
    <t>2010-2030</t>
  </si>
  <si>
    <t>UC_CUMACT</t>
  </si>
  <si>
    <t>UC_MARK</t>
  </si>
  <si>
    <t>UC_CUMFLO</t>
  </si>
  <si>
    <t>UC_TSL</t>
  </si>
  <si>
    <t>ProcName</t>
  </si>
  <si>
    <t>ProcDesc</t>
  </si>
  <si>
    <t>UC__RHSRTS</t>
  </si>
  <si>
    <t>Limit</t>
  </si>
  <si>
    <t>UC__RHSR</t>
  </si>
  <si>
    <t>UC__RHSRT</t>
  </si>
  <si>
    <t>UC_CAP</t>
  </si>
  <si>
    <t>Side</t>
  </si>
  <si>
    <t>UC_T_EACH</t>
  </si>
  <si>
    <t>1 arg: BD (TID)</t>
  </si>
  <si>
    <t>1 arg: BD (TS)</t>
  </si>
  <si>
    <t>0 args (TID)</t>
  </si>
  <si>
    <t>0 args (TS)</t>
  </si>
  <si>
    <t>1 arg: TS (TID)</t>
  </si>
  <si>
    <t>2 args: TS,BD (TS)</t>
  </si>
  <si>
    <t>3 args: PRC,COM,BD (TS)</t>
  </si>
  <si>
    <t>UC_COMCON</t>
  </si>
  <si>
    <t>2 args: SIDE,PRC (TS)</t>
  </si>
  <si>
    <t>UC_ACT</t>
  </si>
  <si>
    <t>UC_FLO</t>
  </si>
  <si>
    <t>UC_IRE</t>
  </si>
  <si>
    <t>Imp/Exp</t>
  </si>
  <si>
    <t>UC_ATTR</t>
  </si>
  <si>
    <t>TSLevel</t>
  </si>
  <si>
    <t>CommIN</t>
  </si>
  <si>
    <t>CommOUT</t>
  </si>
  <si>
    <t>VarType,ParamName</t>
  </si>
  <si>
    <t>2 args: SIDE,TSLevel (TID)</t>
  </si>
  <si>
    <t>3 args: SIDE,COM,TS (TS)</t>
  </si>
  <si>
    <t>3 args: SIDE,PRC,TS (TS)</t>
  </si>
  <si>
    <t>4 args: SIDE,PRC,COM,TS (TS)</t>
  </si>
  <si>
    <t>5 args: SIDE,PRC,COM,TS, IE (TS)</t>
  </si>
  <si>
    <t>3 args: COM,Yr,Yr</t>
  </si>
  <si>
    <t>3 args: PRC,Yr,Yr</t>
  </si>
  <si>
    <t>4 args: PRC,COM,Yr,Yr</t>
  </si>
  <si>
    <t>3 args: Side,VarType,ParamName</t>
  </si>
  <si>
    <t>*</t>
  </si>
  <si>
    <t>ProcUnits</t>
  </si>
  <si>
    <t>Activity I/O</t>
  </si>
  <si>
    <t>IMPEXP</t>
  </si>
  <si>
    <t>* External Regions</t>
  </si>
  <si>
    <t>ALL_REG,REG_EXT</t>
  </si>
  <si>
    <t>MINRNW</t>
  </si>
  <si>
    <t>ANSWER-Commodities</t>
  </si>
  <si>
    <t>ANSWER-REGIONS</t>
  </si>
  <si>
    <t>_GLOBAL,IMPEXP,MINRNW</t>
  </si>
  <si>
    <t>* Internal Regions (insert below and adjust cell B1 accordingly)</t>
  </si>
  <si>
    <t>ANSWER-Constraints</t>
  </si>
  <si>
    <t>ANSWER-CommData</t>
  </si>
  <si>
    <t>ANSWER-Processes</t>
  </si>
  <si>
    <t>ANSWER-ConstrData</t>
  </si>
  <si>
    <t>ANSWER-ITEMS</t>
  </si>
  <si>
    <t>ANSWER-TS&amp;TID DATA</t>
  </si>
  <si>
    <t>ANSWER-TS&amp;TID TRADE</t>
  </si>
  <si>
    <t>ANSWER-ProcData</t>
  </si>
  <si>
    <t>* On TS&amp;TID TRADE sheet, a single region must be specified in column A (a comma-separated region-list is not allowed) and a single region must be specified in column B</t>
  </si>
  <si>
    <t>* On TID TRADE sheet, a single region must be specified in column A (a comma-separated region-list is not allowed) and a single region must be specified in column B</t>
  </si>
  <si>
    <t>* On TS TRADE sheet, a single region must be specified in column A (a comma-separated region-list is not allowed) and a single region must be specified in column B</t>
  </si>
  <si>
    <t>PJ</t>
  </si>
  <si>
    <t>Total</t>
  </si>
  <si>
    <t>PRC_CAPACT</t>
  </si>
  <si>
    <t>ACT_COST</t>
  </si>
  <si>
    <t>ACT_EFF</t>
  </si>
  <si>
    <t>ANNUAL</t>
  </si>
  <si>
    <t>ELC</t>
  </si>
  <si>
    <t>MW</t>
  </si>
  <si>
    <t>R/GJ</t>
  </si>
  <si>
    <t>R/ton</t>
  </si>
  <si>
    <t>MWh</t>
  </si>
  <si>
    <t>ETRANS</t>
  </si>
  <si>
    <t>Transmission</t>
  </si>
  <si>
    <t>Biogas</t>
  </si>
  <si>
    <t>Bagasse</t>
  </si>
  <si>
    <t>ELCC</t>
  </si>
  <si>
    <t>PWRCLE</t>
  </si>
  <si>
    <t>PWRGAS</t>
  </si>
  <si>
    <t>mR</t>
  </si>
  <si>
    <t>2017/2018</t>
  </si>
  <si>
    <t>Period</t>
  </si>
  <si>
    <t>REGION1</t>
  </si>
  <si>
    <t>TWh</t>
  </si>
  <si>
    <t>CV</t>
  </si>
  <si>
    <t>TJ</t>
  </si>
  <si>
    <t>Source</t>
  </si>
  <si>
    <t>Coal</t>
  </si>
  <si>
    <t>* Conversion technologies</t>
  </si>
  <si>
    <t>Capacity to Activity</t>
  </si>
  <si>
    <t>Main activity efficiency</t>
  </si>
  <si>
    <t>PRC_RESID</t>
  </si>
  <si>
    <t>Fixed Cost</t>
  </si>
  <si>
    <t>NCAP_FOM</t>
  </si>
  <si>
    <t>GW</t>
  </si>
  <si>
    <t>Summary</t>
  </si>
  <si>
    <t>Availability</t>
  </si>
  <si>
    <t>Capacity Factor</t>
  </si>
  <si>
    <t>Total Capacity</t>
  </si>
  <si>
    <t>R/kWh</t>
  </si>
  <si>
    <t>Life</t>
  </si>
  <si>
    <t>Efficiency</t>
  </si>
  <si>
    <t>CAP_BND-UP</t>
  </si>
  <si>
    <t>Check</t>
  </si>
  <si>
    <t>Supply - Factor-Labour-Tertiary</t>
  </si>
  <si>
    <t>MIN_FLAB-T</t>
  </si>
  <si>
    <t>Supply - Factor-Labour-Secondary</t>
  </si>
  <si>
    <t>MIN_FLAB-S</t>
  </si>
  <si>
    <t>Supply - Factor-Labour-Mid</t>
  </si>
  <si>
    <t>MIN_FLAB-M</t>
  </si>
  <si>
    <t>Supply - Factor-Labour-Primary</t>
  </si>
  <si>
    <t>MIN_FLAB-P</t>
  </si>
  <si>
    <t>Power - Supply - Factor-Labour-Tertiary</t>
  </si>
  <si>
    <t>EP_FLAB-T</t>
  </si>
  <si>
    <t>Power - Supply - Factor-Labour-Secondary</t>
  </si>
  <si>
    <t>EP_FLAB-S</t>
  </si>
  <si>
    <t>Power - Supply - Factor-Labour-Mid</t>
  </si>
  <si>
    <t>EP_FLAB-M</t>
  </si>
  <si>
    <t>Power - Supply - Factor-Labour-Primary</t>
  </si>
  <si>
    <t>EP_FLAB-P</t>
  </si>
  <si>
    <t>* Labour supply Technologies</t>
  </si>
  <si>
    <t>Industry Electricity</t>
  </si>
  <si>
    <t>XINDELC</t>
  </si>
  <si>
    <t xml:space="preserve">Supply Sector Electricity                         </t>
  </si>
  <si>
    <t>XUPSELC</t>
  </si>
  <si>
    <t xml:space="preserve">Transport Electricity                             </t>
  </si>
  <si>
    <t>XTRAELC</t>
  </si>
  <si>
    <t xml:space="preserve">Residential Electricity                           </t>
  </si>
  <si>
    <t>XRESELC</t>
  </si>
  <si>
    <t xml:space="preserve">Industrial PP-Electricity                         </t>
  </si>
  <si>
    <t>XIPPELC</t>
  </si>
  <si>
    <t xml:space="preserve">Industrial OT-Electricity                         </t>
  </si>
  <si>
    <t>XIOTELC</t>
  </si>
  <si>
    <t xml:space="preserve">Industrial NM-Electricity                         </t>
  </si>
  <si>
    <t>XINMELC</t>
  </si>
  <si>
    <t xml:space="preserve">Industrial NF-Electricity                         </t>
  </si>
  <si>
    <t>XINFELC</t>
  </si>
  <si>
    <t xml:space="preserve">Industrial MI-Electricity                         </t>
  </si>
  <si>
    <t>XIMIELC</t>
  </si>
  <si>
    <t xml:space="preserve">Industrial IS-Electricity                         </t>
  </si>
  <si>
    <t>XIISELC</t>
  </si>
  <si>
    <t xml:space="preserve">Industrial FB-Electricity                         </t>
  </si>
  <si>
    <t>XIFBELC</t>
  </si>
  <si>
    <t xml:space="preserve">Industrial FA-Electricity                         </t>
  </si>
  <si>
    <t>XIFAELC</t>
  </si>
  <si>
    <t xml:space="preserve">Industrial CP-Electricity                         </t>
  </si>
  <si>
    <t>XICPELC</t>
  </si>
  <si>
    <t xml:space="preserve">Commercial Electricity                            </t>
  </si>
  <si>
    <t>XCOMELC</t>
  </si>
  <si>
    <t xml:space="preserve">Agriculatural Electricity                         </t>
  </si>
  <si>
    <t>XAGRELC</t>
  </si>
  <si>
    <t>dummy tech tracking investment costs</t>
  </si>
  <si>
    <t>ETRANSDUM</t>
  </si>
  <si>
    <t>* Transmission and Distribution Technologies</t>
  </si>
  <si>
    <t>Coal Supply for New Plants in Waterberg</t>
  </si>
  <si>
    <t>MINCSWATEVRS</t>
  </si>
  <si>
    <t>Coal Supply for Kusile-various</t>
  </si>
  <si>
    <t>MINCSKUSIVRS</t>
  </si>
  <si>
    <t>Coal Supply for Kusile-New Largo</t>
  </si>
  <si>
    <t>MINCSKUSINLG</t>
  </si>
  <si>
    <t>* Coal Mines</t>
  </si>
  <si>
    <t xml:space="preserve">Sasol Infrachem Gas Plant </t>
  </si>
  <si>
    <t>ETGASENSI-N</t>
  </si>
  <si>
    <t xml:space="preserve">Sasol SSF Gas Plant </t>
  </si>
  <si>
    <t>ETGASENSS-N</t>
  </si>
  <si>
    <t>Solar PV rooftop Industry</t>
  </si>
  <si>
    <t>ERSOLPRI-N</t>
  </si>
  <si>
    <t>Solar PV rooftop residential</t>
  </si>
  <si>
    <t>ERSOLPRR-N</t>
  </si>
  <si>
    <t>Solar PV rooftop commercial</t>
  </si>
  <si>
    <t>ERSOLPRC-N</t>
  </si>
  <si>
    <t>* New Power Plants - On-site</t>
  </si>
  <si>
    <t>Utility Scale Storage - 4hrs</t>
  </si>
  <si>
    <t>ESTSUTL</t>
  </si>
  <si>
    <t>Landfill gas</t>
  </si>
  <si>
    <t>ERBIG-N</t>
  </si>
  <si>
    <t>Biomass municipal waste</t>
  </si>
  <si>
    <t>ERBIO-N</t>
  </si>
  <si>
    <t>Gas Engines - LNG</t>
  </si>
  <si>
    <t>ETGICEN-N</t>
  </si>
  <si>
    <t>Combined Cycle Gas Turbine - LNG</t>
  </si>
  <si>
    <t>ETGICCC-N</t>
  </si>
  <si>
    <t>Open Cycle Gas Turbine - LNG</t>
  </si>
  <si>
    <t>ETGICGT-N</t>
  </si>
  <si>
    <t>Grand Inga</t>
  </si>
  <si>
    <t>ERHYDGIW-I</t>
  </si>
  <si>
    <t>Wind</t>
  </si>
  <si>
    <t>ERWNDH-N</t>
  </si>
  <si>
    <t>Solar PV tracking</t>
  </si>
  <si>
    <t>ERSOLPCT-N</t>
  </si>
  <si>
    <t>Solar PV Fixed</t>
  </si>
  <si>
    <t>ERSOLPCF-N</t>
  </si>
  <si>
    <t>Solar Central Receiver 09 hrs storage</t>
  </si>
  <si>
    <t>ERSOLTC09-N</t>
  </si>
  <si>
    <t>Nuclear Mid</t>
  </si>
  <si>
    <t>ETNUC-N</t>
  </si>
  <si>
    <t>Micro hydro</t>
  </si>
  <si>
    <t>ERHYD-N</t>
  </si>
  <si>
    <t>Fluidised Bed Combustion Coal</t>
  </si>
  <si>
    <t>ETCLDFB-N</t>
  </si>
  <si>
    <t>DOE Peakers</t>
  </si>
  <si>
    <t>ETODSGT-N</t>
  </si>
  <si>
    <t>Pumped Storage New Ingula - Single Storage Tech</t>
  </si>
  <si>
    <t>EPTSTO-N</t>
  </si>
  <si>
    <t>Generic Waterberg Coal Plant</t>
  </si>
  <si>
    <t>ETCLEWATE-N</t>
  </si>
  <si>
    <t>KUSILE</t>
  </si>
  <si>
    <t>ETCLEKUSI-N</t>
  </si>
  <si>
    <t>MEDUPI</t>
  </si>
  <si>
    <t>ETCLEMEDU-N</t>
  </si>
  <si>
    <t>* New Power Plants - Grid</t>
  </si>
  <si>
    <t>Sasol Infrachem Coal Plant</t>
  </si>
  <si>
    <t>ETCLEPFSI-E</t>
  </si>
  <si>
    <t>Sasol SSF Coal Plant</t>
  </si>
  <si>
    <t>ETCLEPFSS-E</t>
  </si>
  <si>
    <t>* Existing Power Plants pre 2012 - On-site</t>
  </si>
  <si>
    <t>Pump Storage All Existing - Single Storage Tech</t>
  </si>
  <si>
    <t>EPTSTO-E</t>
  </si>
  <si>
    <t>Nuclear Existing</t>
  </si>
  <si>
    <t>ETNUC-E</t>
  </si>
  <si>
    <t>Hydro Existing Region</t>
  </si>
  <si>
    <t>ERHYD-I</t>
  </si>
  <si>
    <t>Hydro Existing South Africa</t>
  </si>
  <si>
    <t>ERHYD-E</t>
  </si>
  <si>
    <t>OCGT liquid fuels Existing</t>
  </si>
  <si>
    <t>ETODSGT-E</t>
  </si>
  <si>
    <t>KELVIN B</t>
  </si>
  <si>
    <t>ETCLEKELB-E</t>
  </si>
  <si>
    <t>TUTUKA</t>
  </si>
  <si>
    <t>ETCLETUTU-E</t>
  </si>
  <si>
    <t>MATLA</t>
  </si>
  <si>
    <t>ETCLEMATL-E</t>
  </si>
  <si>
    <t>MATIMBA</t>
  </si>
  <si>
    <t>ETCLEMATI-E</t>
  </si>
  <si>
    <t>MAJUBA WET</t>
  </si>
  <si>
    <t>ETCLEMAJW-E</t>
  </si>
  <si>
    <t>MAJUBA DRY</t>
  </si>
  <si>
    <t>ETCLEMAJD-E</t>
  </si>
  <si>
    <t>LETHABO</t>
  </si>
  <si>
    <t>ETCLELETH-E</t>
  </si>
  <si>
    <t>KRIEL</t>
  </si>
  <si>
    <t>ETCLEKRIE-E</t>
  </si>
  <si>
    <t>KENDAL</t>
  </si>
  <si>
    <t>ETCLEKEND-E</t>
  </si>
  <si>
    <t>HENDRINA</t>
  </si>
  <si>
    <t>ETCLEHEND-E</t>
  </si>
  <si>
    <t>DUVHA</t>
  </si>
  <si>
    <t>ETCLEDUVH-E</t>
  </si>
  <si>
    <t>ARNOT</t>
  </si>
  <si>
    <t>ETCLEARNO-E</t>
  </si>
  <si>
    <t>KOMATI</t>
  </si>
  <si>
    <t>ETCLEKOMA-E</t>
  </si>
  <si>
    <t>GROOTVLEI</t>
  </si>
  <si>
    <t>ETCLEGROO-E</t>
  </si>
  <si>
    <t>CAMDEN</t>
  </si>
  <si>
    <t>ETCLECAMD-E</t>
  </si>
  <si>
    <t>* Existing Power Plants pre 2012 - Grid</t>
  </si>
  <si>
    <t>FLAB-T</t>
  </si>
  <si>
    <t>FLAB-S</t>
  </si>
  <si>
    <t>FLAB-M</t>
  </si>
  <si>
    <t>FLAB-P</t>
  </si>
  <si>
    <t>PWRCLEMEDU</t>
  </si>
  <si>
    <t>PWRCLEKUSI</t>
  </si>
  <si>
    <t>* Commodities for new plants</t>
  </si>
  <si>
    <t>* commodities for existing plants</t>
  </si>
  <si>
    <t>PWRCLETUTU</t>
  </si>
  <si>
    <t>PWRCLEMATL</t>
  </si>
  <si>
    <t>PWRCLEMATI</t>
  </si>
  <si>
    <t>PWRCLEMAJU</t>
  </si>
  <si>
    <t>PWRCLELETH</t>
  </si>
  <si>
    <t>PWRCLEKRIE</t>
  </si>
  <si>
    <t>PWRCLEKOMA</t>
  </si>
  <si>
    <t>PWRCLEKEND</t>
  </si>
  <si>
    <t>PWRCLEHEND</t>
  </si>
  <si>
    <t>PWRCLEGROO</t>
  </si>
  <si>
    <t>PWRCLEDUVH</t>
  </si>
  <si>
    <t>PWRCLECAMD</t>
  </si>
  <si>
    <t>PWRCLEARNO</t>
  </si>
  <si>
    <t>PWRNUC</t>
  </si>
  <si>
    <t>PWRHYD</t>
  </si>
  <si>
    <t>PWRODS</t>
  </si>
  <si>
    <t>INDCLE</t>
  </si>
  <si>
    <t>UPSCLE</t>
  </si>
  <si>
    <t>DAYNITE</t>
  </si>
  <si>
    <t>PWRNMVS</t>
  </si>
  <si>
    <t>PWRCMOX</t>
  </si>
  <si>
    <t>PWRNOXS</t>
  </si>
  <si>
    <t>PWRSOXS</t>
  </si>
  <si>
    <t>PWRN2OS</t>
  </si>
  <si>
    <t>PWRCH4S</t>
  </si>
  <si>
    <t>PWRCO2S</t>
  </si>
  <si>
    <t>PWRENV</t>
  </si>
  <si>
    <t>FLO_EMIS-I</t>
  </si>
  <si>
    <t>FLO_EMIS-O</t>
  </si>
  <si>
    <t>NCAP_AFC</t>
  </si>
  <si>
    <t>NCAP_AFA-LO</t>
  </si>
  <si>
    <t>NCAP_AFA-UP</t>
  </si>
  <si>
    <t>NCAP_BND-UP</t>
  </si>
  <si>
    <t>NCAP_PKCNT</t>
  </si>
  <si>
    <t>NCAP_TLIFE</t>
  </si>
  <si>
    <t>NCAP_COST</t>
  </si>
  <si>
    <t>STG_EFF</t>
  </si>
  <si>
    <t>Combustion Emissions [Only Eskom plants using new formulation for not, other plants emissions are captured by fuel supply technologies]</t>
  </si>
  <si>
    <t>Environmental Levy</t>
  </si>
  <si>
    <t>Availability for pump storage</t>
  </si>
  <si>
    <t>Minimum Annual Utilization</t>
  </si>
  <si>
    <t>Annual Availability</t>
  </si>
  <si>
    <t>Peak Contribution</t>
  </si>
  <si>
    <t>Investment (overnight) Cost R/kW</t>
  </si>
  <si>
    <t>Fixed Cost R/kW</t>
  </si>
  <si>
    <t>Variable Cost R/GJ</t>
  </si>
  <si>
    <t>Pump storage efficiency</t>
  </si>
  <si>
    <t>INDELC</t>
  </si>
  <si>
    <t>PWRSOL</t>
  </si>
  <si>
    <t>RESELC</t>
  </si>
  <si>
    <t>COMELC</t>
  </si>
  <si>
    <t>PWRBIG</t>
  </si>
  <si>
    <t>PWRBIO</t>
  </si>
  <si>
    <t>PWRGIC</t>
  </si>
  <si>
    <t>PWRWND</t>
  </si>
  <si>
    <t>PWRCLD</t>
  </si>
  <si>
    <t>NCAP_BND-FX</t>
  </si>
  <si>
    <t>NCAP_START</t>
  </si>
  <si>
    <t>NCAP_ILED</t>
  </si>
  <si>
    <t>Committed New Capacity</t>
  </si>
  <si>
    <t>Total Capacity Limit</t>
  </si>
  <si>
    <t>First Year</t>
  </si>
  <si>
    <t>Lead time</t>
  </si>
  <si>
    <t>Overnight Investment Cost</t>
  </si>
  <si>
    <t>* LCOE Check (2019 R/kWh)</t>
  </si>
  <si>
    <t>NCAP_AF-UP</t>
  </si>
  <si>
    <t>Availability Check</t>
  </si>
  <si>
    <t>Cost Ratio to Utility</t>
  </si>
  <si>
    <t>ZDUMETRANS</t>
  </si>
  <si>
    <t>Losses taken from EB2017</t>
  </si>
  <si>
    <t>* Coal supply curve for each power plant</t>
  </si>
  <si>
    <t>CH4SF</t>
  </si>
  <si>
    <t>CO2SF</t>
  </si>
  <si>
    <t>Fugitive emissions</t>
  </si>
  <si>
    <t>Activity Limits (PJ/yr)</t>
  </si>
  <si>
    <t>Activity Limits (interpolation flag)</t>
  </si>
  <si>
    <t>Variable Cost 2015 R/GJ</t>
  </si>
  <si>
    <t>Electricity Upstream Transmission</t>
  </si>
  <si>
    <t>COM_PKRSV</t>
  </si>
  <si>
    <t>Short and medium term contracts</t>
  </si>
  <si>
    <t>Rand/GJ</t>
  </si>
  <si>
    <t>CV as received</t>
  </si>
  <si>
    <t>rands/ton</t>
  </si>
  <si>
    <t>Rand '000</t>
  </si>
  <si>
    <t>Ktons</t>
  </si>
  <si>
    <t>various</t>
  </si>
  <si>
    <t xml:space="preserve">Kusile </t>
  </si>
  <si>
    <t>Grootvlei</t>
  </si>
  <si>
    <t>Komati</t>
  </si>
  <si>
    <t>Majuba</t>
  </si>
  <si>
    <t>duvha</t>
  </si>
  <si>
    <t>Hendrina</t>
  </si>
  <si>
    <t>Kriel</t>
  </si>
  <si>
    <t xml:space="preserve">Camden </t>
  </si>
  <si>
    <t xml:space="preserve">Kendal </t>
  </si>
  <si>
    <t>Matla</t>
  </si>
  <si>
    <t xml:space="preserve">Tutuka </t>
  </si>
  <si>
    <t>MinUtil</t>
  </si>
  <si>
    <t>Arnot</t>
  </si>
  <si>
    <t>MINCSTUTUVRS</t>
  </si>
  <si>
    <t>Tutuka</t>
  </si>
  <si>
    <t>Tutuka various</t>
  </si>
  <si>
    <t>Fixed price contracts</t>
  </si>
  <si>
    <t>MINCSTUTUSER</t>
  </si>
  <si>
    <t>Seriti</t>
  </si>
  <si>
    <t>Cost plus</t>
  </si>
  <si>
    <t>TutukaSeriti</t>
  </si>
  <si>
    <t>MINCSMEDUEXX</t>
  </si>
  <si>
    <t>Medupi</t>
  </si>
  <si>
    <t>Exxaro</t>
  </si>
  <si>
    <t>MedupiExxaro</t>
  </si>
  <si>
    <t>MINCSMATLVRS</t>
  </si>
  <si>
    <t>Matlavarious</t>
  </si>
  <si>
    <t>MINCSMATLEXX</t>
  </si>
  <si>
    <t>MatlaExxaro</t>
  </si>
  <si>
    <t>MINCSMATIEXX</t>
  </si>
  <si>
    <t>Matimba</t>
  </si>
  <si>
    <t xml:space="preserve">Exxaro </t>
  </si>
  <si>
    <t xml:space="preserve">MatimbaExxaro </t>
  </si>
  <si>
    <t>Guestimate halfway between trucked and conveyor cost for transport - taken average</t>
  </si>
  <si>
    <t>MINCSMAJUVRS</t>
  </si>
  <si>
    <t>Majubavarious</t>
  </si>
  <si>
    <t>MINCSLETHSER</t>
  </si>
  <si>
    <t>Lethabo</t>
  </si>
  <si>
    <t>LethaboSeriti</t>
  </si>
  <si>
    <t>MINKUSIVRS</t>
  </si>
  <si>
    <t>Kusile various</t>
  </si>
  <si>
    <t>Coal Model New Project</t>
  </si>
  <si>
    <t>New Largo</t>
  </si>
  <si>
    <t>MINCSKRIEVRS</t>
  </si>
  <si>
    <t>Krielvarious</t>
  </si>
  <si>
    <t>MINCSKRIESER</t>
  </si>
  <si>
    <t xml:space="preserve">Seriti </t>
  </si>
  <si>
    <t xml:space="preserve">KrielSeriti </t>
  </si>
  <si>
    <t>MINCSKOMAVRS</t>
  </si>
  <si>
    <t>Komativarious</t>
  </si>
  <si>
    <t>MINCSKENDVRS</t>
  </si>
  <si>
    <t>Kendal</t>
  </si>
  <si>
    <t>Kendal various</t>
  </si>
  <si>
    <t>Coal Model New project</t>
  </si>
  <si>
    <t>MINCSKENDS32</t>
  </si>
  <si>
    <t>South 32</t>
  </si>
  <si>
    <t>Kendal South 32</t>
  </si>
  <si>
    <t>MINCSHENDVRS</t>
  </si>
  <si>
    <t>Hendrinavarious</t>
  </si>
  <si>
    <t>MINCSGROOVRS</t>
  </si>
  <si>
    <t>Grootvleivarious</t>
  </si>
  <si>
    <t>MINCSDUVHVRS</t>
  </si>
  <si>
    <t>Duvha</t>
  </si>
  <si>
    <t>duvhavarious</t>
  </si>
  <si>
    <t>DuvhaSouth 32</t>
  </si>
  <si>
    <t>MINCSCAMDVRS</t>
  </si>
  <si>
    <t>Camden</t>
  </si>
  <si>
    <t>Camden various</t>
  </si>
  <si>
    <t>MINCSARNOVRS</t>
  </si>
  <si>
    <t>Arnotvarious</t>
  </si>
  <si>
    <t>Updated R/ton</t>
  </si>
  <si>
    <t>2015 R/GJ</t>
  </si>
  <si>
    <t>CV_2019</t>
  </si>
  <si>
    <t>Contract Tech</t>
  </si>
  <si>
    <t>Power Plant</t>
  </si>
  <si>
    <t>Company</t>
  </si>
  <si>
    <t>Contract Type</t>
  </si>
  <si>
    <t>Row</t>
  </si>
  <si>
    <t>Contract</t>
  </si>
  <si>
    <t>% covered</t>
  </si>
  <si>
    <t>Sorted by Power Plant</t>
  </si>
  <si>
    <t>Eskom</t>
  </si>
  <si>
    <t>Kelvin</t>
  </si>
  <si>
    <t>2019 quarter one</t>
  </si>
  <si>
    <t>Eskom coal purchase costs</t>
  </si>
  <si>
    <t>Dry cooled eff</t>
  </si>
  <si>
    <t>Dry Cooled output</t>
  </si>
  <si>
    <t>Wet cooled eff</t>
  </si>
  <si>
    <t>Wet cooled output</t>
  </si>
  <si>
    <t>Gross Effiency</t>
  </si>
  <si>
    <t>Gross In</t>
  </si>
  <si>
    <t>Gross out</t>
  </si>
  <si>
    <t>New HELE dry cooled efficiency estimation</t>
  </si>
  <si>
    <t>Weighted Average</t>
  </si>
  <si>
    <t>27 069 069</t>
  </si>
  <si>
    <t>42 584 808</t>
  </si>
  <si>
    <t>78 416 833</t>
  </si>
  <si>
    <t>285 178 152</t>
  </si>
  <si>
    <t>2 428 262</t>
  </si>
  <si>
    <t>368 991 083</t>
  </si>
  <si>
    <t>303 609 808</t>
  </si>
  <si>
    <t>434 641 866</t>
  </si>
  <si>
    <t>383 912 390</t>
  </si>
  <si>
    <t>280 320 688</t>
  </si>
  <si>
    <t>418 627 866</t>
  </si>
  <si>
    <t>185 357 620</t>
  </si>
  <si>
    <t>332 910 207</t>
  </si>
  <si>
    <t>193 417 136</t>
  </si>
  <si>
    <t>Target</t>
  </si>
  <si>
    <t>Kusile</t>
  </si>
  <si>
    <t>Availability (derived)</t>
  </si>
  <si>
    <t>From IRP</t>
  </si>
  <si>
    <t>Capacity (from Eskom integrated report)</t>
  </si>
  <si>
    <t>efficiency</t>
  </si>
  <si>
    <t>3 610 783</t>
  </si>
  <si>
    <t>Palmiet</t>
  </si>
  <si>
    <t>8 041 567</t>
  </si>
  <si>
    <t>Drakensberg</t>
  </si>
  <si>
    <t>3 394 452</t>
  </si>
  <si>
    <t>Van Der Kloof</t>
  </si>
  <si>
    <t>Second Falls</t>
  </si>
  <si>
    <t>Ncora</t>
  </si>
  <si>
    <t>3 245 856</t>
  </si>
  <si>
    <t>Gariep</t>
  </si>
  <si>
    <t>First Falls</t>
  </si>
  <si>
    <t>Colley Wobbles</t>
  </si>
  <si>
    <t>259 177</t>
  </si>
  <si>
    <t>Port Rex</t>
  </si>
  <si>
    <t>4 732 541</t>
  </si>
  <si>
    <t>Gourikwa</t>
  </si>
  <si>
    <t>9 004 500</t>
  </si>
  <si>
    <t>Ankerlig</t>
  </si>
  <si>
    <t>239 654</t>
  </si>
  <si>
    <t>Acacia</t>
  </si>
  <si>
    <t>62 605 828</t>
  </si>
  <si>
    <t>Koeberg</t>
  </si>
  <si>
    <t>Total Coal</t>
  </si>
  <si>
    <t>Total Eskom Coal</t>
  </si>
  <si>
    <t>coal</t>
  </si>
  <si>
    <r>
      <rPr>
        <sz val="8"/>
        <rFont val="Arial"/>
        <family val="2"/>
      </rPr>
      <t>MWh/year</t>
    </r>
  </si>
  <si>
    <r>
      <rPr>
        <sz val="8"/>
        <rFont val="Arial"/>
        <family val="2"/>
      </rPr>
      <t>27 069 069</t>
    </r>
  </si>
  <si>
    <r>
      <rPr>
        <sz val="8"/>
        <rFont val="Arial"/>
        <family val="2"/>
      </rPr>
      <t>Komati</t>
    </r>
  </si>
  <si>
    <r>
      <rPr>
        <sz val="8"/>
        <rFont val="Arial"/>
        <family val="2"/>
      </rPr>
      <t>42 584 808</t>
    </r>
  </si>
  <si>
    <r>
      <rPr>
        <sz val="8"/>
        <rFont val="Arial"/>
        <family val="2"/>
      </rPr>
      <t>Grootvlei</t>
    </r>
  </si>
  <si>
    <r>
      <rPr>
        <sz val="8"/>
        <rFont val="Arial"/>
        <family val="2"/>
      </rPr>
      <t>78 416 833</t>
    </r>
  </si>
  <si>
    <r>
      <rPr>
        <sz val="8"/>
        <rFont val="Arial"/>
        <family val="2"/>
      </rPr>
      <t>Camden</t>
    </r>
  </si>
  <si>
    <r>
      <rPr>
        <sz val="8"/>
        <rFont val="Arial"/>
        <family val="2"/>
      </rPr>
      <t>3 610 783</t>
    </r>
  </si>
  <si>
    <r>
      <rPr>
        <sz val="8"/>
        <rFont val="Arial"/>
        <family val="2"/>
      </rPr>
      <t>Palmiet</t>
    </r>
  </si>
  <si>
    <r>
      <rPr>
        <sz val="8"/>
        <rFont val="Arial"/>
        <family val="2"/>
      </rPr>
      <t>8 041 567</t>
    </r>
  </si>
  <si>
    <r>
      <rPr>
        <sz val="8"/>
        <rFont val="Arial"/>
        <family val="2"/>
      </rPr>
      <t>Drakensberg</t>
    </r>
  </si>
  <si>
    <r>
      <rPr>
        <sz val="8"/>
        <rFont val="Arial"/>
        <family val="2"/>
      </rPr>
      <t>3 394 452</t>
    </r>
  </si>
  <si>
    <r>
      <rPr>
        <sz val="8"/>
        <rFont val="Arial"/>
        <family val="2"/>
      </rPr>
      <t>Van Der Kloof</t>
    </r>
  </si>
  <si>
    <r>
      <rPr>
        <sz val="8"/>
        <rFont val="Arial"/>
        <family val="2"/>
      </rPr>
      <t>Second Falls</t>
    </r>
  </si>
  <si>
    <r>
      <rPr>
        <sz val="8"/>
        <rFont val="Arial"/>
        <family val="2"/>
      </rPr>
      <t>Ncora</t>
    </r>
  </si>
  <si>
    <r>
      <rPr>
        <sz val="8"/>
        <rFont val="Arial"/>
        <family val="2"/>
      </rPr>
      <t>3 245 856</t>
    </r>
  </si>
  <si>
    <r>
      <rPr>
        <sz val="8"/>
        <rFont val="Arial"/>
        <family val="2"/>
      </rPr>
      <t>Gariep</t>
    </r>
  </si>
  <si>
    <r>
      <rPr>
        <sz val="8"/>
        <rFont val="Arial"/>
        <family val="2"/>
      </rPr>
      <t>First Falls</t>
    </r>
  </si>
  <si>
    <r>
      <rPr>
        <sz val="8"/>
        <rFont val="Arial"/>
        <family val="2"/>
      </rPr>
      <t>Colley Wobbles</t>
    </r>
  </si>
  <si>
    <r>
      <rPr>
        <sz val="8"/>
        <rFont val="Arial"/>
        <family val="2"/>
      </rPr>
      <t>259 177</t>
    </r>
  </si>
  <si>
    <r>
      <rPr>
        <sz val="8"/>
        <rFont val="Arial"/>
        <family val="2"/>
      </rPr>
      <t>Port Rex</t>
    </r>
  </si>
  <si>
    <r>
      <rPr>
        <sz val="8"/>
        <rFont val="Arial"/>
        <family val="2"/>
      </rPr>
      <t>4 732 541</t>
    </r>
  </si>
  <si>
    <r>
      <rPr>
        <sz val="8"/>
        <rFont val="Arial"/>
        <family val="2"/>
      </rPr>
      <t>Gourikwa</t>
    </r>
  </si>
  <si>
    <r>
      <rPr>
        <sz val="8"/>
        <rFont val="Arial"/>
        <family val="2"/>
      </rPr>
      <t>9 004 500</t>
    </r>
  </si>
  <si>
    <r>
      <rPr>
        <sz val="8"/>
        <rFont val="Arial"/>
        <family val="2"/>
      </rPr>
      <t>Ankerlig</t>
    </r>
  </si>
  <si>
    <r>
      <rPr>
        <sz val="8"/>
        <rFont val="Arial"/>
        <family val="2"/>
      </rPr>
      <t>239 654</t>
    </r>
  </si>
  <si>
    <r>
      <rPr>
        <sz val="8"/>
        <rFont val="Arial"/>
        <family val="2"/>
      </rPr>
      <t>Acacia</t>
    </r>
  </si>
  <si>
    <r>
      <rPr>
        <sz val="8"/>
        <rFont val="Arial"/>
        <family val="2"/>
      </rPr>
      <t>62 605 828</t>
    </r>
  </si>
  <si>
    <r>
      <rPr>
        <sz val="8"/>
        <rFont val="Arial"/>
        <family val="2"/>
      </rPr>
      <t>Koeberg</t>
    </r>
  </si>
  <si>
    <r>
      <rPr>
        <sz val="8"/>
        <rFont val="Arial"/>
        <family val="2"/>
      </rPr>
      <t>285 178 152</t>
    </r>
  </si>
  <si>
    <r>
      <rPr>
        <sz val="8"/>
        <rFont val="Arial"/>
        <family val="2"/>
      </rPr>
      <t>Tutuka</t>
    </r>
  </si>
  <si>
    <r>
      <rPr>
        <sz val="8"/>
        <rFont val="Arial"/>
        <family val="2"/>
      </rPr>
      <t>2 428 262</t>
    </r>
  </si>
  <si>
    <r>
      <rPr>
        <sz val="8"/>
        <rFont val="Arial"/>
        <family val="2"/>
      </rPr>
      <t>Medupi</t>
    </r>
  </si>
  <si>
    <r>
      <rPr>
        <sz val="8"/>
        <rFont val="Arial"/>
        <family val="2"/>
      </rPr>
      <t>368 991 083</t>
    </r>
  </si>
  <si>
    <r>
      <rPr>
        <sz val="8"/>
        <rFont val="Arial"/>
        <family val="2"/>
      </rPr>
      <t>Matla</t>
    </r>
  </si>
  <si>
    <r>
      <rPr>
        <sz val="8"/>
        <rFont val="Arial"/>
        <family val="2"/>
      </rPr>
      <t>303 609 808</t>
    </r>
  </si>
  <si>
    <r>
      <rPr>
        <sz val="8"/>
        <rFont val="Arial"/>
        <family val="2"/>
      </rPr>
      <t>Majuba</t>
    </r>
  </si>
  <si>
    <r>
      <rPr>
        <sz val="8"/>
        <rFont val="Arial"/>
        <family val="2"/>
      </rPr>
      <t>434 641 866</t>
    </r>
  </si>
  <si>
    <r>
      <rPr>
        <sz val="8"/>
        <rFont val="Arial"/>
        <family val="2"/>
      </rPr>
      <t>Matimba</t>
    </r>
  </si>
  <si>
    <r>
      <rPr>
        <sz val="8"/>
        <rFont val="Arial"/>
        <family val="2"/>
      </rPr>
      <t>383 912 390</t>
    </r>
  </si>
  <si>
    <r>
      <rPr>
        <sz val="8"/>
        <rFont val="Arial"/>
        <family val="2"/>
      </rPr>
      <t>Lethabo</t>
    </r>
  </si>
  <si>
    <r>
      <rPr>
        <sz val="8"/>
        <rFont val="Arial"/>
        <family val="2"/>
      </rPr>
      <t>280 320 688</t>
    </r>
  </si>
  <si>
    <r>
      <rPr>
        <sz val="8"/>
        <rFont val="Arial"/>
        <family val="2"/>
      </rPr>
      <t>Kriel</t>
    </r>
  </si>
  <si>
    <r>
      <rPr>
        <sz val="8"/>
        <rFont val="Arial"/>
        <family val="2"/>
      </rPr>
      <t>418 627 866</t>
    </r>
  </si>
  <si>
    <r>
      <rPr>
        <sz val="8"/>
        <rFont val="Arial"/>
        <family val="2"/>
      </rPr>
      <t>Kendal</t>
    </r>
  </si>
  <si>
    <r>
      <rPr>
        <sz val="8"/>
        <rFont val="Arial"/>
        <family val="2"/>
      </rPr>
      <t>185 357 620</t>
    </r>
  </si>
  <si>
    <r>
      <rPr>
        <sz val="8"/>
        <rFont val="Arial"/>
        <family val="2"/>
      </rPr>
      <t>Hendrina</t>
    </r>
  </si>
  <si>
    <r>
      <rPr>
        <sz val="8"/>
        <rFont val="Arial"/>
        <family val="2"/>
      </rPr>
      <t>332 910 207</t>
    </r>
  </si>
  <si>
    <r>
      <rPr>
        <sz val="8"/>
        <rFont val="Arial"/>
        <family val="2"/>
      </rPr>
      <t>Duvha</t>
    </r>
  </si>
  <si>
    <r>
      <rPr>
        <sz val="8"/>
        <rFont val="Arial"/>
        <family val="2"/>
      </rPr>
      <t>193 417 136</t>
    </r>
  </si>
  <si>
    <r>
      <rPr>
        <sz val="8"/>
        <rFont val="Arial"/>
        <family val="2"/>
      </rPr>
      <t>Arnot</t>
    </r>
  </si>
  <si>
    <t>2017 NERSA</t>
  </si>
  <si>
    <t>2017 scaled</t>
  </si>
  <si>
    <t>2017-2018</t>
  </si>
  <si>
    <r>
      <rPr>
        <b/>
        <sz val="8"/>
        <rFont val="Arial"/>
        <family val="2"/>
      </rPr>
      <t>2016-2017</t>
    </r>
  </si>
  <si>
    <r>
      <rPr>
        <b/>
        <sz val="8"/>
        <rFont val="Arial"/>
        <family val="2"/>
      </rPr>
      <t>2015-2016</t>
    </r>
  </si>
  <si>
    <r>
      <rPr>
        <b/>
        <sz val="8"/>
        <rFont val="Arial"/>
        <family val="2"/>
      </rPr>
      <t>2014-2015</t>
    </r>
  </si>
  <si>
    <r>
      <rPr>
        <b/>
        <sz val="8"/>
        <rFont val="Arial"/>
        <family val="2"/>
      </rPr>
      <t>2013-2014</t>
    </r>
  </si>
  <si>
    <r>
      <rPr>
        <b/>
        <sz val="8"/>
        <rFont val="Arial"/>
        <family val="2"/>
      </rPr>
      <t>2012-2013</t>
    </r>
  </si>
  <si>
    <r>
      <rPr>
        <b/>
        <sz val="8"/>
        <rFont val="Arial"/>
        <family val="2"/>
      </rPr>
      <t>2011-2012</t>
    </r>
  </si>
  <si>
    <r>
      <rPr>
        <b/>
        <sz val="8"/>
        <rFont val="Arial"/>
        <family val="2"/>
      </rPr>
      <t>2010-2011</t>
    </r>
  </si>
  <si>
    <r>
      <rPr>
        <b/>
        <sz val="8"/>
        <rFont val="Arial"/>
        <family val="2"/>
      </rPr>
      <t>2009-2010</t>
    </r>
  </si>
  <si>
    <r>
      <rPr>
        <b/>
        <u/>
        <sz val="8"/>
        <rFont val="Arial"/>
        <family val="2"/>
      </rPr>
      <t>Unit of </t>
    </r>
    <r>
      <rPr>
        <b/>
        <sz val="8"/>
        <rFont val="Arial"/>
        <family val="2"/>
      </rPr>
      <t xml:space="preserve"> </t>
    </r>
    <r>
      <rPr>
        <b/>
        <u/>
        <sz val="8"/>
        <rFont val="Arial"/>
        <family val="2"/>
      </rPr>
      <t>Measure </t>
    </r>
    <r>
      <rPr>
        <b/>
        <sz val="8"/>
        <rFont val="Arial"/>
        <family val="2"/>
      </rPr>
      <t xml:space="preserve"> </t>
    </r>
    <r>
      <rPr>
        <b/>
        <u/>
        <sz val="8"/>
        <rFont val="Arial"/>
        <family val="2"/>
      </rPr>
      <t>(UoM)</t>
    </r>
  </si>
  <si>
    <r>
      <rPr>
        <b/>
        <u/>
        <sz val="8"/>
        <rFont val="Arial"/>
        <family val="2"/>
      </rPr>
      <t xml:space="preserve">ΣGENj,y
</t>
    </r>
    <r>
      <rPr>
        <b/>
        <u/>
        <sz val="8"/>
        <rFont val="Arial"/>
        <family val="2"/>
      </rPr>
      <t>MWh</t>
    </r>
  </si>
  <si>
    <r>
      <rPr>
        <b/>
        <u/>
        <sz val="8"/>
        <rFont val="Arial"/>
        <family val="2"/>
      </rPr>
      <t>Reinstalla-</t>
    </r>
    <r>
      <rPr>
        <b/>
        <sz val="8"/>
        <rFont val="Arial"/>
        <family val="2"/>
      </rPr>
      <t xml:space="preserve"> </t>
    </r>
    <r>
      <rPr>
        <b/>
        <u/>
        <sz val="8"/>
        <rFont val="Arial"/>
        <family val="2"/>
      </rPr>
      <t>tion date</t>
    </r>
  </si>
  <si>
    <r>
      <rPr>
        <b/>
        <u/>
        <sz val="8"/>
        <rFont val="Arial"/>
        <family val="2"/>
      </rPr>
      <t>Commis-</t>
    </r>
    <r>
      <rPr>
        <b/>
        <sz val="8"/>
        <rFont val="Arial"/>
        <family val="2"/>
      </rPr>
      <t xml:space="preserve"> </t>
    </r>
    <r>
      <rPr>
        <b/>
        <u/>
        <sz val="8"/>
        <rFont val="Arial"/>
        <family val="2"/>
      </rPr>
      <t>sioning date</t>
    </r>
  </si>
  <si>
    <r>
      <rPr>
        <b/>
        <u/>
        <sz val="8"/>
        <rFont val="Arial"/>
        <family val="2"/>
      </rPr>
      <t>Installed </t>
    </r>
    <r>
      <rPr>
        <b/>
        <sz val="8"/>
        <rFont val="Arial"/>
        <family val="2"/>
      </rPr>
      <t xml:space="preserve"> </t>
    </r>
    <r>
      <rPr>
        <b/>
        <u/>
        <sz val="8"/>
        <rFont val="Arial"/>
        <family val="2"/>
      </rPr>
      <t>capacity</t>
    </r>
    <r>
      <rPr>
        <b/>
        <sz val="8"/>
        <rFont val="Arial"/>
        <family val="2"/>
      </rPr>
      <t xml:space="preserve"> </t>
    </r>
    <r>
      <rPr>
        <b/>
        <u/>
        <sz val="8"/>
        <rFont val="Arial"/>
        <family val="2"/>
      </rPr>
      <t>(MW)</t>
    </r>
  </si>
  <si>
    <r>
      <rPr>
        <b/>
        <u/>
        <sz val="8"/>
        <rFont val="Arial"/>
        <family val="2"/>
      </rPr>
      <t>Plant names</t>
    </r>
  </si>
  <si>
    <t>Medupi fix</t>
  </si>
  <si>
    <t>Electricity Generation (Net Sent Out)</t>
  </si>
  <si>
    <r>
      <rPr>
        <b/>
        <sz val="11"/>
        <color rgb="FF008000"/>
        <rFont val="Arial"/>
        <family val="2"/>
      </rPr>
      <t>Historic electricity generation per plant</t>
    </r>
  </si>
  <si>
    <r>
      <rPr>
        <sz val="12"/>
        <rFont val="Times New Roman"/>
        <family val="1"/>
      </rPr>
      <t>http://www.eskom.co.za/OurCompany/SustainableDevelopment/Pages/CDM_Calculations.aspx</t>
    </r>
  </si>
  <si>
    <t>Eskom Average 2017</t>
  </si>
  <si>
    <t>Coal Calorific Value (MJ/kg)</t>
  </si>
  <si>
    <r>
      <rPr>
        <sz val="7"/>
        <rFont val="Arial"/>
        <family val="2"/>
      </rPr>
      <t>Coal</t>
    </r>
  </si>
  <si>
    <r>
      <rPr>
        <sz val="7"/>
        <rFont val="Arial"/>
        <family val="2"/>
      </rPr>
      <t>Komati</t>
    </r>
  </si>
  <si>
    <r>
      <rPr>
        <sz val="7"/>
        <rFont val="Arial"/>
        <family val="2"/>
      </rPr>
      <t>Grootvlei</t>
    </r>
  </si>
  <si>
    <r>
      <rPr>
        <sz val="7"/>
        <rFont val="Arial"/>
        <family val="2"/>
      </rPr>
      <t>Camden</t>
    </r>
  </si>
  <si>
    <r>
      <rPr>
        <sz val="7"/>
        <rFont val="Arial"/>
        <family val="2"/>
      </rPr>
      <t>Pump Storage</t>
    </r>
  </si>
  <si>
    <r>
      <rPr>
        <sz val="7"/>
        <rFont val="Arial"/>
        <family val="2"/>
      </rPr>
      <t>Palmiet</t>
    </r>
  </si>
  <si>
    <r>
      <rPr>
        <sz val="7"/>
        <rFont val="Arial"/>
        <family val="2"/>
      </rPr>
      <t>Drakensberg</t>
    </r>
  </si>
  <si>
    <r>
      <rPr>
        <sz val="7"/>
        <rFont val="Arial"/>
        <family val="2"/>
      </rPr>
      <t>Hydro</t>
    </r>
  </si>
  <si>
    <r>
      <rPr>
        <sz val="7"/>
        <rFont val="Arial"/>
        <family val="2"/>
      </rPr>
      <t>Van Der Kloof</t>
    </r>
  </si>
  <si>
    <r>
      <rPr>
        <sz val="7"/>
        <rFont val="Arial"/>
        <family val="2"/>
      </rPr>
      <t>Second Falls</t>
    </r>
  </si>
  <si>
    <r>
      <rPr>
        <sz val="7"/>
        <rFont val="Arial"/>
        <family val="2"/>
      </rPr>
      <t>Ncora</t>
    </r>
  </si>
  <si>
    <r>
      <rPr>
        <sz val="7"/>
        <rFont val="Arial"/>
        <family val="2"/>
      </rPr>
      <t>Gariep</t>
    </r>
  </si>
  <si>
    <r>
      <rPr>
        <sz val="7"/>
        <rFont val="Arial"/>
        <family val="2"/>
      </rPr>
      <t>First Falls</t>
    </r>
  </si>
  <si>
    <r>
      <rPr>
        <sz val="7"/>
        <rFont val="Arial"/>
        <family val="2"/>
      </rPr>
      <t>Colley Wobbles</t>
    </r>
  </si>
  <si>
    <r>
      <rPr>
        <sz val="7"/>
        <rFont val="Arial"/>
        <family val="2"/>
      </rPr>
      <t>Gas</t>
    </r>
  </si>
  <si>
    <r>
      <rPr>
        <sz val="7"/>
        <rFont val="Arial"/>
        <family val="2"/>
      </rPr>
      <t>Port Rex</t>
    </r>
  </si>
  <si>
    <r>
      <rPr>
        <sz val="7"/>
        <rFont val="Arial"/>
        <family val="2"/>
      </rPr>
      <t>Gourikwa</t>
    </r>
  </si>
  <si>
    <r>
      <rPr>
        <sz val="7"/>
        <rFont val="Arial"/>
        <family val="2"/>
      </rPr>
      <t>Ankerlig</t>
    </r>
  </si>
  <si>
    <r>
      <rPr>
        <sz val="7"/>
        <rFont val="Arial"/>
        <family val="2"/>
      </rPr>
      <t>Acacia</t>
    </r>
  </si>
  <si>
    <r>
      <rPr>
        <sz val="7"/>
        <rFont val="Arial"/>
        <family val="2"/>
      </rPr>
      <t>Nuclear</t>
    </r>
  </si>
  <si>
    <r>
      <rPr>
        <sz val="7"/>
        <rFont val="Arial"/>
        <family val="2"/>
      </rPr>
      <t>Koeberg</t>
    </r>
  </si>
  <si>
    <r>
      <rPr>
        <sz val="7"/>
        <rFont val="Arial"/>
        <family val="2"/>
      </rPr>
      <t>Tutuka</t>
    </r>
  </si>
  <si>
    <r>
      <rPr>
        <sz val="7"/>
        <rFont val="Arial"/>
        <family val="2"/>
      </rPr>
      <t>Medupi</t>
    </r>
  </si>
  <si>
    <r>
      <rPr>
        <sz val="7"/>
        <rFont val="Arial"/>
        <family val="2"/>
      </rPr>
      <t>Matla</t>
    </r>
  </si>
  <si>
    <r>
      <rPr>
        <sz val="7"/>
        <rFont val="Arial"/>
        <family val="2"/>
      </rPr>
      <t>Majuba</t>
    </r>
  </si>
  <si>
    <r>
      <rPr>
        <sz val="7"/>
        <rFont val="Arial"/>
        <family val="2"/>
      </rPr>
      <t>Matimba</t>
    </r>
  </si>
  <si>
    <r>
      <rPr>
        <sz val="7"/>
        <rFont val="Arial"/>
        <family val="2"/>
      </rPr>
      <t>Lethabo</t>
    </r>
  </si>
  <si>
    <r>
      <rPr>
        <sz val="7"/>
        <rFont val="Arial"/>
        <family val="2"/>
      </rPr>
      <t>Kriel</t>
    </r>
  </si>
  <si>
    <r>
      <rPr>
        <sz val="7"/>
        <rFont val="Arial"/>
        <family val="2"/>
      </rPr>
      <t>Kendal</t>
    </r>
  </si>
  <si>
    <r>
      <rPr>
        <sz val="7"/>
        <rFont val="Arial"/>
        <family val="2"/>
      </rPr>
      <t>Hendrina</t>
    </r>
  </si>
  <si>
    <r>
      <rPr>
        <sz val="7"/>
        <rFont val="Arial"/>
        <family val="2"/>
      </rPr>
      <t>Duvha</t>
    </r>
  </si>
  <si>
    <r>
      <rPr>
        <sz val="7"/>
        <rFont val="Arial"/>
        <family val="2"/>
      </rPr>
      <t>Arnot</t>
    </r>
  </si>
  <si>
    <t>2019 leaked data</t>
  </si>
  <si>
    <t>Coal contract database</t>
  </si>
  <si>
    <r>
      <rPr>
        <b/>
        <sz val="7"/>
        <rFont val="Arial"/>
        <family val="2"/>
      </rPr>
      <t>2016-2017</t>
    </r>
  </si>
  <si>
    <r>
      <rPr>
        <b/>
        <sz val="7"/>
        <rFont val="Arial"/>
        <family val="2"/>
      </rPr>
      <t>2015-2016</t>
    </r>
  </si>
  <si>
    <r>
      <rPr>
        <b/>
        <sz val="7"/>
        <rFont val="Arial"/>
        <family val="2"/>
      </rPr>
      <t>2014-2015</t>
    </r>
  </si>
  <si>
    <r>
      <rPr>
        <b/>
        <sz val="7"/>
        <rFont val="Arial"/>
        <family val="2"/>
      </rPr>
      <t>2013-2014</t>
    </r>
  </si>
  <si>
    <r>
      <rPr>
        <b/>
        <sz val="7"/>
        <rFont val="Arial"/>
        <family val="2"/>
      </rPr>
      <t>2012-2013</t>
    </r>
  </si>
  <si>
    <r>
      <rPr>
        <b/>
        <sz val="7"/>
        <rFont val="Arial"/>
        <family val="2"/>
      </rPr>
      <t>2011-2012</t>
    </r>
  </si>
  <si>
    <r>
      <rPr>
        <b/>
        <sz val="7"/>
        <rFont val="Arial"/>
        <family val="2"/>
      </rPr>
      <t>2010-2011</t>
    </r>
  </si>
  <si>
    <r>
      <rPr>
        <b/>
        <sz val="7"/>
        <rFont val="Arial"/>
        <family val="2"/>
      </rPr>
      <t>2009-2010</t>
    </r>
  </si>
  <si>
    <r>
      <rPr>
        <b/>
        <sz val="7"/>
        <rFont val="Arial"/>
        <family val="2"/>
      </rPr>
      <t>Fuel consumption</t>
    </r>
  </si>
  <si>
    <r>
      <rPr>
        <b/>
        <sz val="7"/>
        <rFont val="Arial"/>
        <family val="2"/>
      </rPr>
      <t>Unit of Measure (UoM)</t>
    </r>
  </si>
  <si>
    <r>
      <rPr>
        <b/>
        <sz val="7"/>
        <rFont val="Arial"/>
        <family val="2"/>
      </rPr>
      <t>Fuel type</t>
    </r>
  </si>
  <si>
    <r>
      <rPr>
        <b/>
        <sz val="7"/>
        <rFont val="Arial"/>
        <family val="2"/>
      </rPr>
      <t>Reinstallation or commisioning date</t>
    </r>
  </si>
  <si>
    <r>
      <rPr>
        <b/>
        <sz val="7"/>
        <rFont val="Arial"/>
        <family val="2"/>
      </rPr>
      <t>Commissioni ng date</t>
    </r>
  </si>
  <si>
    <r>
      <rPr>
        <b/>
        <sz val="7"/>
        <rFont val="Arial"/>
        <family val="2"/>
      </rPr>
      <t>Installed capacity (MW)</t>
    </r>
  </si>
  <si>
    <r>
      <rPr>
        <b/>
        <sz val="7"/>
        <rFont val="Arial"/>
        <family val="2"/>
      </rPr>
      <t>Plant names</t>
    </r>
  </si>
  <si>
    <r>
      <rPr>
        <b/>
        <sz val="7"/>
        <rFont val="Arial"/>
        <family val="2"/>
      </rPr>
      <t xml:space="preserve">6.  </t>
    </r>
    <r>
      <rPr>
        <sz val="7"/>
        <rFont val="Arial"/>
        <family val="2"/>
      </rPr>
      <t>Colley Wobbles, First Falls, Ncora and Second Falls are operational but not included for capacity management purposes.</t>
    </r>
  </si>
  <si>
    <r>
      <rPr>
        <b/>
        <sz val="7"/>
        <rFont val="Arial"/>
        <family val="2"/>
      </rPr>
      <t xml:space="preserve">5.  </t>
    </r>
    <r>
      <rPr>
        <sz val="7"/>
        <rFont val="Arial"/>
        <family val="2"/>
      </rPr>
      <t>Pumped storage facilities are net users of electricity. Water is pumped during off-peak periods so that electricity can be generated during peak periods;</t>
    </r>
  </si>
  <si>
    <r>
      <rPr>
        <b/>
        <sz val="7"/>
        <rFont val="Arial"/>
        <family val="2"/>
      </rPr>
      <t xml:space="preserve">4.  </t>
    </r>
    <r>
      <rPr>
        <sz val="7"/>
        <rFont val="Arial"/>
        <family val="2"/>
      </rPr>
      <t>Ankelig, Gourikwa, Acacia and Port Rex are used for peaking and emergency supplies;</t>
    </r>
  </si>
  <si>
    <r>
      <rPr>
        <sz val="7"/>
        <rFont val="Arial"/>
        <family val="2"/>
      </rPr>
      <t>without significant transmission constraints based on current electricity supply contractual obligations;</t>
    </r>
  </si>
  <si>
    <r>
      <rPr>
        <b/>
        <sz val="7"/>
        <rFont val="Arial"/>
        <family val="2"/>
      </rPr>
      <t xml:space="preserve">3.  </t>
    </r>
    <r>
      <rPr>
        <sz val="7"/>
        <rFont val="Arial"/>
        <family val="2"/>
      </rPr>
      <t>Eskom is a net electricity exporter and exports electricity to Botswana (BPC), Lesotho (LEC), Namibia (NamPower), Zambia (CEC), Swaziland (SEC) and Mozambique (MOTRACO)</t>
    </r>
  </si>
  <si>
    <r>
      <rPr>
        <b/>
        <sz val="7"/>
        <rFont val="Arial"/>
        <family val="2"/>
      </rPr>
      <t xml:space="preserve">2.  </t>
    </r>
    <r>
      <rPr>
        <sz val="7"/>
        <rFont val="Arial"/>
        <family val="2"/>
      </rPr>
      <t>Eskom operates an integrated electricity grid  nationally in which electricity can be dispatched without significant transmission constraints under normal operating conditions;</t>
    </r>
  </si>
  <si>
    <t>Eskom Actual</t>
  </si>
  <si>
    <r>
      <rPr>
        <b/>
        <sz val="7"/>
        <rFont val="Arial"/>
        <family val="2"/>
      </rPr>
      <t xml:space="preserve">1.  </t>
    </r>
    <r>
      <rPr>
        <sz val="7"/>
        <rFont val="Arial"/>
        <family val="2"/>
      </rPr>
      <t>Where the year refers to a single year (e.g. 2007), it is representative of Eskom financial year which ends 31 March. Therefore '2012' refers to the financial year 2011/2012;</t>
    </r>
  </si>
  <si>
    <r>
      <rPr>
        <b/>
        <sz val="9"/>
        <rFont val="Calibri"/>
        <family val="2"/>
      </rPr>
      <t>Guidance:</t>
    </r>
  </si>
  <si>
    <r>
      <rPr>
        <sz val="7"/>
        <rFont val="Arial"/>
        <family val="2"/>
      </rPr>
      <t>tonnes/year</t>
    </r>
  </si>
  <si>
    <r>
      <rPr>
        <sz val="7"/>
        <rFont val="Arial"/>
        <family val="2"/>
      </rPr>
      <t>NA</t>
    </r>
  </si>
  <si>
    <r>
      <rPr>
        <sz val="7"/>
        <rFont val="Arial"/>
        <family val="2"/>
      </rPr>
      <t>liters kerosene/year</t>
    </r>
  </si>
  <si>
    <r>
      <rPr>
        <sz val="7"/>
        <rFont val="Arial"/>
        <family val="2"/>
      </rPr>
      <t>liters diesel/year</t>
    </r>
  </si>
  <si>
    <t>Apr</t>
  </si>
  <si>
    <t>Mar</t>
  </si>
  <si>
    <t>Feb</t>
  </si>
  <si>
    <t>Jan</t>
  </si>
  <si>
    <t>Dec</t>
  </si>
  <si>
    <t>Nov</t>
  </si>
  <si>
    <t>Oct</t>
  </si>
  <si>
    <t>Sep</t>
  </si>
  <si>
    <t>Aug</t>
  </si>
  <si>
    <t>Jul</t>
  </si>
  <si>
    <t>Jun</t>
  </si>
  <si>
    <t>May</t>
  </si>
  <si>
    <t>Assumed</t>
  </si>
  <si>
    <t>Average historical</t>
  </si>
  <si>
    <t>Nersa</t>
  </si>
  <si>
    <t>2016-2017</t>
  </si>
  <si>
    <r>
      <rPr>
        <sz val="10"/>
        <rFont val="Calibri"/>
        <family val="2"/>
      </rPr>
      <t>Eskom CDM Grid information for application within the CDM</t>
    </r>
  </si>
  <si>
    <t>http://www.eskom.co.za/OurCompany/SustainableDevelopment/Pages/CDM_Calculations.aspx</t>
  </si>
  <si>
    <t>Domestic</t>
  </si>
  <si>
    <t>All</t>
  </si>
  <si>
    <t>Other RE</t>
  </si>
  <si>
    <t>Sum of PS</t>
  </si>
  <si>
    <t>Sum of Nuclear</t>
  </si>
  <si>
    <t>Sum of Gas_Turbine (incl IPP)</t>
  </si>
  <si>
    <t>Sum of Large scale hydro</t>
  </si>
  <si>
    <t>Sum of International Imports</t>
  </si>
  <si>
    <t>Sum of CSP</t>
  </si>
  <si>
    <t>Sum of Wind</t>
  </si>
  <si>
    <t>Sum of PV</t>
  </si>
  <si>
    <t>Sum of Coal</t>
  </si>
  <si>
    <t>From IRP 2019</t>
  </si>
  <si>
    <t>GROUP EXECUTIVE: GENERATION</t>
  </si>
  <si>
    <t>Bheki Nxumalo</t>
  </si>
  <si>
    <t>From:</t>
  </si>
  <si>
    <t>Reference number: PAIA 0087 MAN</t>
  </si>
  <si>
    <t>Mr T Lloyd</t>
  </si>
  <si>
    <t>To:</t>
  </si>
  <si>
    <t>Unit #</t>
  </si>
  <si>
    <t>Capacity</t>
  </si>
  <si>
    <t>OCGT</t>
  </si>
  <si>
    <t>January-December 2017</t>
  </si>
  <si>
    <t>Concentrated Solar Power (CSP)</t>
  </si>
  <si>
    <t>Xina Solar One</t>
  </si>
  <si>
    <t>Private</t>
  </si>
  <si>
    <t>Xina Solar One (RF) (Pty) Ltd</t>
  </si>
  <si>
    <t>NER/IPP/NC/658-403</t>
  </si>
  <si>
    <t>Solar Photovoltaic (PV)</t>
  </si>
  <si>
    <t>Sishen Solar Energy Facility</t>
  </si>
  <si>
    <t>Windfall 59 Properties(Pty) Ltd</t>
  </si>
  <si>
    <t>NERSA/IPP/NC/658-285</t>
  </si>
  <si>
    <t xml:space="preserve">Waainek Wind Farm </t>
  </si>
  <si>
    <t>Waainek Wind Farm Power (Pty) Ltd</t>
  </si>
  <si>
    <t>NERSA/IPP/EC/658-284</t>
  </si>
  <si>
    <t>Vredendal Solar Power Park</t>
  </si>
  <si>
    <t>Vredendal Solar Power Park (Pty) Ltd</t>
  </si>
  <si>
    <t>NERSA/IPP/WC/658-283</t>
  </si>
  <si>
    <t xml:space="preserve">Hopefield Wind Farm </t>
  </si>
  <si>
    <t>Umoya Energy (Pty) Ltd</t>
  </si>
  <si>
    <t>NER/IPP/WC/658-139</t>
  </si>
  <si>
    <t>Umfolozi Sugar Mill</t>
  </si>
  <si>
    <t>Umfolozi Sugar Mill (Pty) Ltd</t>
  </si>
  <si>
    <t>NERSA/IPP/KZN/2012</t>
  </si>
  <si>
    <t>Tsitsikamma Community Wind Farm</t>
  </si>
  <si>
    <t>Tsitsikamma Community Wind Farm (Pty) Ltd</t>
  </si>
  <si>
    <t>NERSA/IPP/EC/658-282</t>
  </si>
  <si>
    <t>Bagasse and Coal</t>
  </si>
  <si>
    <t xml:space="preserve">Maidstone  </t>
  </si>
  <si>
    <t>Tongaat Hulett Sugar Mills and Estates Limited</t>
  </si>
  <si>
    <t>NER/G/THS</t>
  </si>
  <si>
    <t xml:space="preserve">Felixton  </t>
  </si>
  <si>
    <t xml:space="preserve">Darnall  </t>
  </si>
  <si>
    <t xml:space="preserve">Amatikulu  </t>
  </si>
  <si>
    <t>Tom Burke Solar Park</t>
  </si>
  <si>
    <t>Tobivox (Pty) Ltd</t>
  </si>
  <si>
    <t>NER/IPP/L/822-76</t>
  </si>
  <si>
    <t>Hydro</t>
  </si>
  <si>
    <t>Lydenburg Hydro</t>
  </si>
  <si>
    <t>Municipality</t>
  </si>
  <si>
    <t>Thaba Chweu Local Municipality</t>
  </si>
  <si>
    <t>NER/MUNIC/G/MP32/01</t>
  </si>
  <si>
    <t>Upington Solar PV Project</t>
  </si>
  <si>
    <t>Sublunary Trading (Pty) Ltd RF</t>
  </si>
  <si>
    <t>NERSA/IPP/NC/658-281</t>
  </si>
  <si>
    <t>Stortemelk Hydro (Pty) Ltd</t>
  </si>
  <si>
    <t>NERSA/IPP/FS/658-267</t>
  </si>
  <si>
    <t>iLanga Lethemba PV energy facility</t>
  </si>
  <si>
    <t>Solar Capital De Aar 3 (Pty) Ltd</t>
  </si>
  <si>
    <t>NERSA/IPP/NC/658-280</t>
  </si>
  <si>
    <t>iLanga Lethemba PV solar energy</t>
  </si>
  <si>
    <t>Solar Capital De Aar (Pty) Ltd</t>
  </si>
  <si>
    <t>NER/IPP/NC/658-90</t>
  </si>
  <si>
    <t>SlimSun Swatland Solar Park</t>
  </si>
  <si>
    <t>SlimSun (Pty) Ltd</t>
  </si>
  <si>
    <t>NER/IPP/EC/658-78</t>
  </si>
  <si>
    <t>Dreunberg</t>
  </si>
  <si>
    <t>Simacel 160 (Pty) Ltd</t>
  </si>
  <si>
    <t>NERSA/IPP/NC/658-279</t>
  </si>
  <si>
    <t>Linde</t>
  </si>
  <si>
    <t>Simacel 155 (Pty) Ltd</t>
  </si>
  <si>
    <t>NERSA/IPP/NC/658-278</t>
  </si>
  <si>
    <t>Sevenstone 159 (Pty) Ltd</t>
  </si>
  <si>
    <t>Sevenstones 159 (Pty) Ltd</t>
  </si>
  <si>
    <t>NERSA/IPP/NC/658-112</t>
  </si>
  <si>
    <t xml:space="preserve">Kalkbult </t>
  </si>
  <si>
    <t xml:space="preserve">Scatec Solar SA 166  (Pty) Ltd </t>
  </si>
  <si>
    <t>NER/IPP/NC/658-83</t>
  </si>
  <si>
    <t>Gas</t>
  </si>
  <si>
    <t>Sasol unit 543 Gas Turbines</t>
  </si>
  <si>
    <t>Sasol South Africa (Pty) Limited</t>
  </si>
  <si>
    <t>NER/IPP/FS/2013</t>
  </si>
  <si>
    <t xml:space="preserve">Sasolburg Gas Engines Power Plant </t>
  </si>
  <si>
    <t>Sasol Synfuels Steam Plant</t>
  </si>
  <si>
    <t>Sasol Chemical Industries Plant</t>
  </si>
  <si>
    <t>Spent Pulping Liqour and Coal</t>
  </si>
  <si>
    <t>Sappi Ngodwana</t>
  </si>
  <si>
    <t>Sappi Southern Africa Ltd</t>
  </si>
  <si>
    <t>LCE/COGEN/KZN291/2013</t>
  </si>
  <si>
    <t>Sappi Saiccor</t>
  </si>
  <si>
    <t>Noupoort Wind Farm</t>
  </si>
  <si>
    <t>SAMRP Noupoort (Pty) Ltd</t>
  </si>
  <si>
    <t>NER/IPP/NC/658-399</t>
  </si>
  <si>
    <t xml:space="preserve">Loeriesfontein 2 Wind Farm </t>
  </si>
  <si>
    <t>SAMRP Loeriesfontein 2 (Pty) Ltd</t>
  </si>
  <si>
    <t>NER/IPP/NC/658-395</t>
  </si>
  <si>
    <t xml:space="preserve">Khobab Wind Farm </t>
  </si>
  <si>
    <t>SAMRP Khobab Wind (Pty) Ltd</t>
  </si>
  <si>
    <t>NER/IPP/NC/658-393</t>
  </si>
  <si>
    <t>SAMRP Droogfontein Solar Farm (Pty) Ltd</t>
  </si>
  <si>
    <t>SAMRP Droogfontein (RF) (Pty) Ltd</t>
  </si>
  <si>
    <t>NERSA/IPP/NC/822-31</t>
  </si>
  <si>
    <t>SAMRP De Aar Solar Farm (Pty) Ltd</t>
  </si>
  <si>
    <t>SAMRP De Aar (RF) (Pty) Ltd</t>
  </si>
  <si>
    <t>NERSA/IPP/NC/822-30</t>
  </si>
  <si>
    <t>Rustmo1 Solar Farm (Pty) Ltd</t>
  </si>
  <si>
    <t>NER/IPP/NW/658-55</t>
  </si>
  <si>
    <t>Metro Wind Van Stadens Wind Farm</t>
  </si>
  <si>
    <t xml:space="preserve">Rubicept (Pty) Ltd </t>
  </si>
  <si>
    <t>NERSA/IPP/EC/658-127</t>
  </si>
  <si>
    <t xml:space="preserve">Cookhouse Wind Farm </t>
  </si>
  <si>
    <t>Renewables Cookhouse Wind Farm 1 (RF) (Pty) Ltd</t>
  </si>
  <si>
    <t>NERSA/IPP/EC/658-126</t>
  </si>
  <si>
    <t>Khathu</t>
  </si>
  <si>
    <t>Renewable Energy Investments SA (RF) (Pty) Ltd</t>
  </si>
  <si>
    <t>NERSA/IPP/NC/822-28</t>
  </si>
  <si>
    <t xml:space="preserve">TSB Malelane </t>
  </si>
  <si>
    <t xml:space="preserve">RCL Foods Sugar and Milling (Pty) Ltd </t>
  </si>
  <si>
    <t>NERSA/IPP/MP/2011</t>
  </si>
  <si>
    <t>TSB Komati</t>
  </si>
  <si>
    <t>Pulida Solar Park</t>
  </si>
  <si>
    <t>Pulida Energy (Pty) Ltd</t>
  </si>
  <si>
    <t>NER/IPP/FS/658-408</t>
  </si>
  <si>
    <t>Power Alt</t>
  </si>
  <si>
    <t>Power Alt (Pty) Ltd</t>
  </si>
  <si>
    <t>NERSA/IPP/MP313/2012</t>
  </si>
  <si>
    <t>Lesedi PV</t>
  </si>
  <si>
    <t>Oakleaf Investments Holdings 79 (Pty) Ltd</t>
  </si>
  <si>
    <t>NER/IPP/NC085/068-110</t>
  </si>
  <si>
    <t>Nojoli Wind Farm</t>
  </si>
  <si>
    <t>Nojoli Wind Farm (RF) (Pty) Ltd</t>
  </si>
  <si>
    <t>NER/IPP/EC/658-393</t>
  </si>
  <si>
    <t>Newcastle Cogeneration (Pty) Ltd</t>
  </si>
  <si>
    <t>Newcastle Cogeneration Limited</t>
  </si>
  <si>
    <t>NERSA/G/KZ232/01</t>
  </si>
  <si>
    <t>Mount Road Gas Turbine</t>
  </si>
  <si>
    <t>Nelson Mandela Bay Metropolitan Municipality</t>
  </si>
  <si>
    <t>NER/G/Nman</t>
  </si>
  <si>
    <t xml:space="preserve">Mulilo Sonnedix Prieska PV </t>
  </si>
  <si>
    <t>Mulilo Sonnedix Prieska PV (Pty) Ltd</t>
  </si>
  <si>
    <t>NER/IPP/NC/822-82</t>
  </si>
  <si>
    <t>Mulilo Renewable Solar PV Prieska (Pty) Ltd</t>
  </si>
  <si>
    <t>NER/IPP/NC077/068-107</t>
  </si>
  <si>
    <t>Mulilo Renewable Energy Solar De Aar</t>
  </si>
  <si>
    <t>Mulilo Renewable Energy Solar De Aar (Pty) Ltd</t>
  </si>
  <si>
    <t>NER/IPP/NC073/658-71</t>
  </si>
  <si>
    <t>Spent Liqour and Coal</t>
  </si>
  <si>
    <t>Mpact, Piet Retief</t>
  </si>
  <si>
    <t>Mpact Limited</t>
  </si>
  <si>
    <t>NERSA/IPP/MP/2012</t>
  </si>
  <si>
    <t>Spent pulping liquor, Coal and Gas</t>
  </si>
  <si>
    <t>Mondi Richards Bay Mill</t>
  </si>
  <si>
    <t>Mondi Limited</t>
  </si>
  <si>
    <t>NERSA/IPP/KZN282/11</t>
  </si>
  <si>
    <t>Cogeneration Plant Methcap Petro SA</t>
  </si>
  <si>
    <t>MethCap SPV1 (Proprietary) Limited</t>
  </si>
  <si>
    <t>NERSA/G/IPP/MCS</t>
  </si>
  <si>
    <t xml:space="preserve">Longyuan Mulilo De Aar Maanhaarberg Wind Energy Facility </t>
  </si>
  <si>
    <t>Longyuan Mulilo De Aar Wind Power (Pty) Ltd</t>
  </si>
  <si>
    <t>NER/IPP/NC/658-394</t>
  </si>
  <si>
    <t>Longyuan Mulilo De Aar 2 North Wind Farm</t>
  </si>
  <si>
    <t>Longyuan Mulilo De Aar 2 North (Pty) Ltd</t>
  </si>
  <si>
    <t>NER/IPP/NC/658-398</t>
  </si>
  <si>
    <t>L'omarins Hydro Power Plant</t>
  </si>
  <si>
    <t>L'omarins (Pty) Ltd</t>
  </si>
  <si>
    <t>NER/IPP/WC/658-1016</t>
  </si>
  <si>
    <t xml:space="preserve">Limarco 77 (Pty) Ltd </t>
  </si>
  <si>
    <t>NERSA/IPP/NC/658-111</t>
  </si>
  <si>
    <t xml:space="preserve">Kouga Wind Farm </t>
  </si>
  <si>
    <t>Kouga Wind Farm (RF) (Pty) Ltd</t>
  </si>
  <si>
    <t>NERSA/IPP/EC/468-22</t>
  </si>
  <si>
    <t>Dassieklip Wind Energy Facility</t>
  </si>
  <si>
    <t>Klipheuwel-Dassiefontein Wind Energy Facility (Pty) Ltd</t>
  </si>
  <si>
    <t>NER/IPP/WC/658-105</t>
  </si>
  <si>
    <t xml:space="preserve">Khi Solar one </t>
  </si>
  <si>
    <t>Khi Solar one (Pty) Ltd</t>
  </si>
  <si>
    <t>NER/IPP/NC/658-106</t>
  </si>
  <si>
    <t>Kakamas Hydro Electric Power</t>
  </si>
  <si>
    <t>Kakamas Hydroelectric Power (Pty) Ltd</t>
  </si>
  <si>
    <t>NERSA/IPP/NC/658-276</t>
  </si>
  <si>
    <t>Ka Xu Solar One</t>
  </si>
  <si>
    <t>Ka Xu Solar One (Pty) Ltd</t>
  </si>
  <si>
    <t>NER/IPP/NC/658-137</t>
  </si>
  <si>
    <t>Jeffreys Bay Wind Farm</t>
  </si>
  <si>
    <t>Jeffreys Bay Wind Farm (RF) (Pty) Ltd</t>
  </si>
  <si>
    <t>NER/IPP/EC/658-138</t>
  </si>
  <si>
    <t xml:space="preserve">Jasper Power Company </t>
  </si>
  <si>
    <t>Jasper Power Company (Pty) Ltd</t>
  </si>
  <si>
    <t>NERSA/IPP/NC/658-275</t>
  </si>
  <si>
    <t>Eston Mill</t>
  </si>
  <si>
    <t>Illovo Sugar South Africa Limited</t>
  </si>
  <si>
    <t>NER/G/KZ226/01</t>
  </si>
  <si>
    <t>Grassridge Wind Farm</t>
  </si>
  <si>
    <t>Grassridge Wind Power (Pty) Ltd</t>
  </si>
  <si>
    <t>NERSA/IPP/EC/658-274</t>
  </si>
  <si>
    <t>Gibson Bay Wind Power</t>
  </si>
  <si>
    <t>Gibson Bay Wind Farm (Pty) Ltd</t>
  </si>
  <si>
    <t>NER/IPP/NC/468-41</t>
  </si>
  <si>
    <t xml:space="preserve">Friedenheim </t>
  </si>
  <si>
    <t>Friedenheim Irrigation Board</t>
  </si>
  <si>
    <t>199-295-1</t>
  </si>
  <si>
    <t>Letsatsi PV</t>
  </si>
  <si>
    <t>Firefly Investments 253 (Pty) Ltd</t>
  </si>
  <si>
    <t>NER/IPP/EC/658-62</t>
  </si>
  <si>
    <t>Boshoff Solar Park</t>
  </si>
  <si>
    <t>Firefly Investments 230 (RF) (Pty) Ltd</t>
  </si>
  <si>
    <t>NERSA/IPP/NC/658-273</t>
  </si>
  <si>
    <t>Eskom Holdings (Pty) Ltd</t>
  </si>
  <si>
    <t>NER/G/Eskom</t>
  </si>
  <si>
    <t>Pumped Storage</t>
  </si>
  <si>
    <t>Ingula</t>
  </si>
  <si>
    <t>Sere Wind Farm</t>
  </si>
  <si>
    <t>Mbashe</t>
  </si>
  <si>
    <t>Nuclear</t>
  </si>
  <si>
    <t>Vanderkloof</t>
  </si>
  <si>
    <t xml:space="preserve">Gas </t>
  </si>
  <si>
    <t>Southpan Solar Park</t>
  </si>
  <si>
    <t>Erika Energy (Pty) Ltd</t>
  </si>
  <si>
    <t>NERSA/IPP/L/1033-195</t>
  </si>
  <si>
    <t>Methane Gas</t>
  </si>
  <si>
    <t>Goudkoppies Site</t>
  </si>
  <si>
    <t>Energy Joburg (RF) (Pty) Ltd</t>
  </si>
  <si>
    <t>NER/IPP/GP/658-400</t>
  </si>
  <si>
    <t>Robinsons Deep Site</t>
  </si>
  <si>
    <t>Electrawinds Wind Turbine</t>
  </si>
  <si>
    <t xml:space="preserve">Electrawinds Africa and Indian Ocean Islands (Pty) Ltd </t>
  </si>
  <si>
    <t>NERSA/IPP/EC232/2011</t>
  </si>
  <si>
    <t>Paleisheuwel Solar Park</t>
  </si>
  <si>
    <t>Electra Capital (Pty) Ltd</t>
  </si>
  <si>
    <t>NER/IPP/WC/658-409</t>
  </si>
  <si>
    <t>Dorper Wind Farm</t>
  </si>
  <si>
    <t>Dorper Wind Farm (Pty) Ltd</t>
  </si>
  <si>
    <t>NERSA/IPP/EC/658-128</t>
  </si>
  <si>
    <t>Dedisa generation station</t>
  </si>
  <si>
    <t>Dedisa Peaking Power (Pty) Ltd</t>
  </si>
  <si>
    <t>NERSA/IPP/EC/658-134</t>
  </si>
  <si>
    <t xml:space="preserve">Darlipp (Pty) Ltd </t>
  </si>
  <si>
    <t>Darling Independent Power Producer (Pty) Ltd</t>
  </si>
  <si>
    <t>NER/G/IPP/DAR</t>
  </si>
  <si>
    <t xml:space="preserve">CPV Power Plant No.1 </t>
  </si>
  <si>
    <t>CPV Power Plant No.1 (Pty) Ltd</t>
  </si>
  <si>
    <t>NERSA/IPP/WP/1033-194</t>
  </si>
  <si>
    <t>Noblesfontein Wind Farm</t>
  </si>
  <si>
    <t>Coria (PKF) Investment 28 (Pty) Ltd</t>
  </si>
  <si>
    <t>NERSA/IPP/NC/468-21</t>
  </si>
  <si>
    <t>Core Energy (Pty) Ltd</t>
  </si>
  <si>
    <t>NERSA/IPP/LP/882-29</t>
  </si>
  <si>
    <t xml:space="preserve">Clanwilliam Dam Hydo Power Station </t>
  </si>
  <si>
    <t>Clackson Power Company (Pty) Ltd</t>
  </si>
  <si>
    <t>NERSA/G/CKL-IPP</t>
  </si>
  <si>
    <t>Coal and Gas</t>
  </si>
  <si>
    <t>Pretoria West</t>
  </si>
  <si>
    <t xml:space="preserve">City of Tshwane </t>
  </si>
  <si>
    <t>NER/G/TSHW</t>
  </si>
  <si>
    <t xml:space="preserve">Rooiwal </t>
  </si>
  <si>
    <t>Steenbras</t>
  </si>
  <si>
    <t>City of Cape Town</t>
  </si>
  <si>
    <t>0820655</t>
  </si>
  <si>
    <t>Roggebaai Gas Turbine</t>
  </si>
  <si>
    <t>Athlone Gas Turbine</t>
  </si>
  <si>
    <t>Chaba Wind Farm Project</t>
  </si>
  <si>
    <t>Chaba Wind Power (Pty) Ltd</t>
  </si>
  <si>
    <t>NERSA/IPP/NC/658-272</t>
  </si>
  <si>
    <t xml:space="preserve">Bronkhorstspruit Biogas Plant </t>
  </si>
  <si>
    <t>Bronkhorstspruit Biogas Plant (Pty) Ltd</t>
  </si>
  <si>
    <t>NERSA/IPP/GP/658-326</t>
  </si>
  <si>
    <t>Gouda Wind Energy Facility</t>
  </si>
  <si>
    <t>Blue Falcon 140 Trading (Pty) Ltd</t>
  </si>
  <si>
    <t>NERSA/IPP/NC/658-271</t>
  </si>
  <si>
    <t>Sol Plaatje</t>
  </si>
  <si>
    <t>Bethlehem Hydro (Pty) Ltd</t>
  </si>
  <si>
    <t>NERSA/G/BET-IPP</t>
  </si>
  <si>
    <t>Merino</t>
  </si>
  <si>
    <t>Avon generation station</t>
  </si>
  <si>
    <t>Avon Peaking Power (Pty) Ltd</t>
  </si>
  <si>
    <t>NERSA/IPP/KZN/658-133</t>
  </si>
  <si>
    <t>Aurora Rietvlei Solar Power</t>
  </si>
  <si>
    <t>Aurora-Rietvlei Solar Power (RF) (Pty) Ltd</t>
  </si>
  <si>
    <t>NERSA/IPP/WC/658-270</t>
  </si>
  <si>
    <t>West Coast 1</t>
  </si>
  <si>
    <t xml:space="preserve">Aurora Wind Power (RF) (Pty) Ltd </t>
  </si>
  <si>
    <t>NERSA/IPP/WC/658-277</t>
  </si>
  <si>
    <t>Amakhala Emoyeni Wind Farm</t>
  </si>
  <si>
    <t>Amakhala Emoyeni Re Project 1 (Pty) Ltd</t>
  </si>
  <si>
    <t>NERSA/IPP/EC/658-269</t>
  </si>
  <si>
    <t>AES Kelvin Power (Pty) Ltd</t>
  </si>
  <si>
    <t>NER/G/KELVIN</t>
  </si>
  <si>
    <t>Herbert PV Power Plant</t>
  </si>
  <si>
    <t>AE-AMD Independent Power Producer 3 (Pty) Ltd</t>
  </si>
  <si>
    <t>NER/IPP/NC/658-60</t>
  </si>
  <si>
    <t>Greefspan PV Power Plant</t>
  </si>
  <si>
    <t>AE-AMD Independent Power Producer 1 (Pty) Ltd</t>
  </si>
  <si>
    <t>Adams Solar PV</t>
  </si>
  <si>
    <t>Adams Solar PV Project 2 (Pty) Ltd</t>
  </si>
  <si>
    <t>NER/IPP/NC/658-73</t>
  </si>
  <si>
    <t>Bokpoort CSP Power Plant</t>
  </si>
  <si>
    <t>ACWA Power Solafrica Bokpoort CSP Power Plant (Pty) Ltd</t>
  </si>
  <si>
    <t>NERSA/IPP/NC/658-268</t>
  </si>
  <si>
    <t>Biomass</t>
  </si>
  <si>
    <t>AC Whitcher Sawmill</t>
  </si>
  <si>
    <t>AC Whitcher (Pty) Ltd</t>
  </si>
  <si>
    <t>NERSA/IPP/EC109/2014</t>
  </si>
  <si>
    <t>External Sales (MWh)</t>
  </si>
  <si>
    <r>
      <rPr>
        <b/>
        <sz val="9"/>
        <color indexed="8"/>
        <rFont val="Arial"/>
        <family val="2"/>
      </rPr>
      <t xml:space="preserve">Energy consumed on site (MWh) </t>
    </r>
    <r>
      <rPr>
        <b/>
        <sz val="9"/>
        <rFont val="Arial"/>
        <family val="2"/>
      </rPr>
      <t xml:space="preserve"> </t>
    </r>
  </si>
  <si>
    <t>Net Energy sent out (MWh)</t>
  </si>
  <si>
    <t>Power Imports (MWh)</t>
  </si>
  <si>
    <r>
      <t xml:space="preserve">Gross </t>
    </r>
    <r>
      <rPr>
        <b/>
        <sz val="9"/>
        <color indexed="8"/>
        <rFont val="Arial"/>
        <family val="2"/>
      </rPr>
      <t xml:space="preserve">Energy sent out (MWh) </t>
    </r>
    <r>
      <rPr>
        <b/>
        <sz val="9"/>
        <rFont val="Arial"/>
        <family val="2"/>
      </rPr>
      <t xml:space="preserve"> </t>
    </r>
  </si>
  <si>
    <t>Auxilary Consumption (MWh)</t>
  </si>
  <si>
    <r>
      <t xml:space="preserve"> </t>
    </r>
    <r>
      <rPr>
        <b/>
        <sz val="9"/>
        <color indexed="8"/>
        <rFont val="Arial"/>
        <family val="2"/>
      </rPr>
      <t>Energy Generated (MWh)</t>
    </r>
    <r>
      <rPr>
        <b/>
        <sz val="9"/>
        <rFont val="Arial"/>
        <family val="2"/>
      </rPr>
      <t xml:space="preserve"> </t>
    </r>
  </si>
  <si>
    <r>
      <t xml:space="preserve"> </t>
    </r>
    <r>
      <rPr>
        <b/>
        <sz val="9"/>
        <color indexed="8"/>
        <rFont val="Arial"/>
        <family val="2"/>
      </rPr>
      <t xml:space="preserve">Licensed Capacity (MW) </t>
    </r>
    <r>
      <rPr>
        <b/>
        <sz val="9"/>
        <rFont val="Arial"/>
        <family val="2"/>
      </rPr>
      <t xml:space="preserve"> </t>
    </r>
  </si>
  <si>
    <t>Calendar Year</t>
  </si>
  <si>
    <t>System Used/Power Station Type</t>
  </si>
  <si>
    <t>Power Station Name</t>
  </si>
  <si>
    <t>Licence Type</t>
  </si>
  <si>
    <t>Licensee Name</t>
  </si>
  <si>
    <t>Licence Number</t>
  </si>
  <si>
    <t>Non Eskom Electricity only Plants</t>
  </si>
  <si>
    <t>Actual</t>
  </si>
  <si>
    <t>Sugar Industry</t>
  </si>
  <si>
    <t>Coal share</t>
  </si>
  <si>
    <t>Elec Eff (CHP)</t>
  </si>
  <si>
    <t xml:space="preserve">Pulp and Paper </t>
  </si>
  <si>
    <t>Total Fuels</t>
  </si>
  <si>
    <t>Chemicals Gas</t>
  </si>
  <si>
    <t>SSF Gas</t>
  </si>
  <si>
    <t>Chemicals Coal</t>
  </si>
  <si>
    <t>SSF Coal</t>
  </si>
  <si>
    <t>Elc</t>
  </si>
  <si>
    <t>Sasol Plants</t>
  </si>
  <si>
    <t>January-December 2018</t>
  </si>
  <si>
    <t>Northern Cape</t>
  </si>
  <si>
    <t>Eastern Cape</t>
  </si>
  <si>
    <t>Waainek Wind Farm</t>
  </si>
  <si>
    <t>Western Cape</t>
  </si>
  <si>
    <t>Hopefield Wind Farm</t>
  </si>
  <si>
    <t>KwaZulu-Natal</t>
  </si>
  <si>
    <t>Maidstone</t>
  </si>
  <si>
    <t>Felixton</t>
  </si>
  <si>
    <t>Darnall</t>
  </si>
  <si>
    <t>Amatikulu</t>
  </si>
  <si>
    <t>Limpopo</t>
  </si>
  <si>
    <t>Mpumalanga</t>
  </si>
  <si>
    <t>Free State</t>
  </si>
  <si>
    <t>Kalkbult</t>
  </si>
  <si>
    <t>Scatec Solar SA 166 (Pty) Ltd</t>
  </si>
  <si>
    <t>Sasolburg Gas Engines Power Plant</t>
  </si>
  <si>
    <t>Loeriesfontein 2 Wind Farm</t>
  </si>
  <si>
    <t>Khobab Wind Farm</t>
  </si>
  <si>
    <t>North West</t>
  </si>
  <si>
    <t>Rubicept (Pty) Ltd</t>
  </si>
  <si>
    <t>Cookhouse Wind Farm</t>
  </si>
  <si>
    <t>Kouga Wind Farm</t>
  </si>
  <si>
    <t>Malelane</t>
  </si>
  <si>
    <t>RCL Foods Sugar and Milling (Pty) Ltd</t>
  </si>
  <si>
    <t>Mulilo Sonnedix Prieska PV</t>
  </si>
  <si>
    <t>Longyuan Mulilo De Aar Maanhaarberg Wind Energy Facility</t>
  </si>
  <si>
    <t>Limarco 77 (Pty) Ltd</t>
  </si>
  <si>
    <t>Khi Solar one</t>
  </si>
  <si>
    <t>Jasper Power Company</t>
  </si>
  <si>
    <t>Friedenheim</t>
  </si>
  <si>
    <t>Gauteng</t>
  </si>
  <si>
    <t>Marie Louise Site</t>
  </si>
  <si>
    <t>Darlipp (Pty) Ltd</t>
  </si>
  <si>
    <t>CPV Power Plant No.1</t>
  </si>
  <si>
    <t>Witkop Solar Park</t>
  </si>
  <si>
    <t>Clanwilliam Dam Hydo Power Station</t>
  </si>
  <si>
    <t>City of Tshwane</t>
  </si>
  <si>
    <t>Rooiwal</t>
  </si>
  <si>
    <t>Bronkhorstspruit Biogas Plant</t>
  </si>
  <si>
    <t>Avianto Energy (Pty) Ltd</t>
  </si>
  <si>
    <t>Aurora Wind Power (RF) (Pty) Ltd</t>
  </si>
  <si>
    <t>Sere</t>
  </si>
  <si>
    <t>Border of Free State and Eastern Cape</t>
  </si>
  <si>
    <t>Energy consumed on site (MWh)</t>
  </si>
  <si>
    <t>Gross Energy sent out (MWh)</t>
  </si>
  <si>
    <t>Auxiliary Consumption (MWh)</t>
  </si>
  <si>
    <t>Energy Generated (MWh)</t>
  </si>
  <si>
    <t>Licensed Capacity (MW)</t>
  </si>
  <si>
    <t>Province name</t>
  </si>
  <si>
    <t>N</t>
  </si>
  <si>
    <t>Ratio Net/Gross</t>
  </si>
  <si>
    <t>Eskom adjusted financial period</t>
  </si>
  <si>
    <t>NERSA</t>
  </si>
  <si>
    <t>GWh</t>
  </si>
  <si>
    <t>Ratio</t>
  </si>
  <si>
    <t>Net Sent out</t>
  </si>
  <si>
    <t>Gross Energy Sent out</t>
  </si>
  <si>
    <t>Net Maximum</t>
  </si>
  <si>
    <t>Eskom Integrated Report</t>
  </si>
  <si>
    <t>Eskom CDM</t>
  </si>
  <si>
    <t>RESID-SATIM</t>
  </si>
  <si>
    <t>Combined</t>
  </si>
  <si>
    <t>-</t>
  </si>
  <si>
    <t>Coal stations</t>
  </si>
  <si>
    <t>External Sales</t>
  </si>
  <si>
    <t>Consumption</t>
  </si>
  <si>
    <t>Power Produced</t>
  </si>
  <si>
    <t>System Used / Power Station Type</t>
  </si>
  <si>
    <t>Energy consumed on site</t>
  </si>
  <si>
    <t>Net Energy sent out</t>
  </si>
  <si>
    <t>Power Imports</t>
  </si>
  <si>
    <t>Gross Energy sent out</t>
  </si>
  <si>
    <t>Auxiliary</t>
  </si>
  <si>
    <t>Energy Generated</t>
  </si>
  <si>
    <t>Licensed Capacity</t>
  </si>
  <si>
    <t>Licensee Type</t>
  </si>
  <si>
    <t>Total GWh</t>
  </si>
  <si>
    <t>Total MW</t>
  </si>
  <si>
    <t>New CAP MW</t>
  </si>
  <si>
    <t>Industrial</t>
  </si>
  <si>
    <t>Residential</t>
  </si>
  <si>
    <t>Commercial</t>
  </si>
  <si>
    <t>Total (MW)</t>
  </si>
  <si>
    <t>Small Hydro</t>
  </si>
  <si>
    <t>Onshore Wind</t>
  </si>
  <si>
    <t>Project Search</t>
  </si>
  <si>
    <t>Awaiting construction</t>
  </si>
  <si>
    <t>Zeerust</t>
  </si>
  <si>
    <t>REIPPP Window 4</t>
  </si>
  <si>
    <t>Peddie</t>
  </si>
  <si>
    <t>Wesley-Ciskei Wind Farm</t>
  </si>
  <si>
    <t>Vryburg</t>
  </si>
  <si>
    <t>Waterloo Solar Park</t>
  </si>
  <si>
    <t>Laingsburg</t>
  </si>
  <si>
    <t>The Soetwater Wind Farm</t>
  </si>
  <si>
    <t>Loeriesfontein</t>
  </si>
  <si>
    <t>Solar Capital Orange</t>
  </si>
  <si>
    <t>Upington</t>
  </si>
  <si>
    <t>Sirius Solar PV Project One</t>
  </si>
  <si>
    <t>Sutherland</t>
  </si>
  <si>
    <t>Roggeveld</t>
  </si>
  <si>
    <t>Construction</t>
  </si>
  <si>
    <t>Matjiesfontein</t>
  </si>
  <si>
    <t>Perdekraal East Wind Farm</t>
  </si>
  <si>
    <t>Oyster Bay</t>
  </si>
  <si>
    <t>Oyster Bay Wind Farm</t>
  </si>
  <si>
    <t>Cookhouse</t>
  </si>
  <si>
    <t>Nxuba Wind Farm</t>
  </si>
  <si>
    <t>Ngodwana</t>
  </si>
  <si>
    <t>Ngodwana Biomass Power Station</t>
  </si>
  <si>
    <t>Bethlehem</t>
  </si>
  <si>
    <t>Kruisvallei Hydro</t>
  </si>
  <si>
    <t>Pofadder</t>
  </si>
  <si>
    <t>Konkoonsies II Solar Facility</t>
  </si>
  <si>
    <t>Karusa Wind Farm</t>
  </si>
  <si>
    <t>Springbok</t>
  </si>
  <si>
    <t>Kangnas Wind Farm</t>
  </si>
  <si>
    <t>Douglas</t>
  </si>
  <si>
    <t>Greefspan PV Power Plant No. 2 Solar Park</t>
  </si>
  <si>
    <t>Golden Valley</t>
  </si>
  <si>
    <t>Copperton</t>
  </si>
  <si>
    <t>Garob Wind Farm</t>
  </si>
  <si>
    <t>Swellendam</t>
  </si>
  <si>
    <t>Excelsior Wind Energy Facility</t>
  </si>
  <si>
    <t>Dyason’s Klip 2</t>
  </si>
  <si>
    <t>Dyason’s Klip 1</t>
  </si>
  <si>
    <t>Kimberley</t>
  </si>
  <si>
    <t>Droogfontein 2 Solar</t>
  </si>
  <si>
    <t>Brits</t>
  </si>
  <si>
    <t>De Wildt</t>
  </si>
  <si>
    <t>Copperton Windfarm</t>
  </si>
  <si>
    <t>Leeudoringstad</t>
  </si>
  <si>
    <t>Bokamoso</t>
  </si>
  <si>
    <t>Aggeneys</t>
  </si>
  <si>
    <t>Aggeneys Solar Project</t>
  </si>
  <si>
    <t>STATUS</t>
  </si>
  <si>
    <t>NEAREST TOWN</t>
  </si>
  <si>
    <t>PROGRAMME</t>
  </si>
  <si>
    <t>CAPACITY (MW)</t>
  </si>
  <si>
    <t>TECHNOLOGY</t>
  </si>
  <si>
    <t>NAME</t>
  </si>
  <si>
    <t>https://www.energy.org.za/data-and-tools/project-database?art_title=&amp;programme=REIPPP+Window+4&amp;project_type=&amp;province=&amp;status=Awaiting+construction&amp;cck=project&amp;scale=Large+Scale+Utility&amp;country=South+Africa&amp;search=project_search&amp;task=search</t>
  </si>
  <si>
    <t>Round 4</t>
  </si>
  <si>
    <t>CSP</t>
  </si>
  <si>
    <t>Solar PV</t>
  </si>
  <si>
    <t>New</t>
  </si>
  <si>
    <t>Rounds 1-3</t>
  </si>
  <si>
    <t>Overnight Cost + ODC</t>
  </si>
  <si>
    <t>ODC</t>
  </si>
  <si>
    <t>2015 R/kW</t>
  </si>
  <si>
    <t>Fuel Cost (R/GJ)</t>
  </si>
  <si>
    <t>Variable O&amp;M Cost (R/MWh)</t>
  </si>
  <si>
    <t>Fixed O&amp;M Cost (R/KW/Year)</t>
  </si>
  <si>
    <t>Total Overnight Cost, ZAR/kW (Jan 2017 Rands)</t>
  </si>
  <si>
    <t>Rated Capacity, MW Net</t>
  </si>
  <si>
    <t>Bagasse Gen</t>
  </si>
  <si>
    <t>Bagasse Felixton</t>
  </si>
  <si>
    <t>Landfill Gas</t>
  </si>
  <si>
    <t>Biomass MSW</t>
  </si>
  <si>
    <t>Biomass Forestry Residue</t>
  </si>
  <si>
    <t>CSP Tower 9 hours storage</t>
  </si>
  <si>
    <t>CSP Tower 6 hours storage</t>
  </si>
  <si>
    <t>CSP Tower 3 hours storage</t>
  </si>
  <si>
    <t>CSP Trough 9 hours storage</t>
  </si>
  <si>
    <t>CSP Trough 6 hours storage</t>
  </si>
  <si>
    <t>CSP Trough 3 hours storage</t>
  </si>
  <si>
    <t>Concetrated PV</t>
  </si>
  <si>
    <t xml:space="preserve">PV Tracking </t>
  </si>
  <si>
    <t>PV Fixed Tilt</t>
  </si>
  <si>
    <t>New Battery_4hrs</t>
  </si>
  <si>
    <t>CAES_8hrs Storage</t>
  </si>
  <si>
    <t>Lithium-Ion_3hrs Storage</t>
  </si>
  <si>
    <t>Lithium-Ion_1hrs Storage</t>
  </si>
  <si>
    <t xml:space="preserve">Pumped Storage </t>
  </si>
  <si>
    <t>Demand Response</t>
  </si>
  <si>
    <t>Internal Combustion Engine (ICE) 12MW</t>
  </si>
  <si>
    <t>Internal Combustion Engine (ICE) 10MW</t>
  </si>
  <si>
    <t>Internal Combustion Engine (ICE) 2MW</t>
  </si>
  <si>
    <t>CCGT</t>
  </si>
  <si>
    <t>Nuclear (DoE)</t>
  </si>
  <si>
    <t>Coal FBC with FGD, Single Unit</t>
  </si>
  <si>
    <t>Coal Pulverized with FGD</t>
  </si>
  <si>
    <t>SATIM equivalent</t>
  </si>
  <si>
    <t>EDist Industry</t>
  </si>
  <si>
    <t>EDist</t>
  </si>
  <si>
    <t>Power</t>
  </si>
  <si>
    <t>Edist Transport</t>
  </si>
  <si>
    <t>EDist Residential</t>
  </si>
  <si>
    <t>EDist Commercial</t>
  </si>
  <si>
    <t>EDist Agriculture</t>
  </si>
  <si>
    <t>ETrans</t>
  </si>
  <si>
    <t>EOil</t>
  </si>
  <si>
    <t xml:space="preserve">Open-Cycle Gas Turbine - diesel                   </t>
  </si>
  <si>
    <t xml:space="preserve">OCGT liquid fuels Existing                        </t>
  </si>
  <si>
    <t>ENuclear</t>
  </si>
  <si>
    <t xml:space="preserve">Nuclear Mid                                       </t>
  </si>
  <si>
    <t xml:space="preserve">Nuclear Existing                                  </t>
  </si>
  <si>
    <t>EImports</t>
  </si>
  <si>
    <t xml:space="preserve">Kudu gas (Nam)                                    </t>
  </si>
  <si>
    <t>ETGRNCC-I</t>
  </si>
  <si>
    <t>EGas</t>
  </si>
  <si>
    <t xml:space="preserve">Combined Cycle Gas Turbine - Northern Mozambique  </t>
  </si>
  <si>
    <t>ETGRMCC-N</t>
  </si>
  <si>
    <t xml:space="preserve">Open Cycle Gas Turbine - Shale                    </t>
  </si>
  <si>
    <t>ETGIHGT-N</t>
  </si>
  <si>
    <t xml:space="preserve">Combined Cycle Gas Turbine - Shale                </t>
  </si>
  <si>
    <t>ETGIHCC-N</t>
  </si>
  <si>
    <t xml:space="preserve">Open Cycle Gas Turbine - LNG                      </t>
  </si>
  <si>
    <t xml:space="preserve">Combined Cycle Gas Turbine - Coastal              </t>
  </si>
  <si>
    <t xml:space="preserve">Open Cycle Gas Turbine - Inland                   </t>
  </si>
  <si>
    <t>ETGASGT-N</t>
  </si>
  <si>
    <t xml:space="preserve">Combined Cycle Gas Turbine - Sasol                </t>
  </si>
  <si>
    <t>ETGASCCSS-N</t>
  </si>
  <si>
    <t xml:space="preserve">Combined Cycle Gas Turbine - Inland               </t>
  </si>
  <si>
    <t>ETGASCC-N</t>
  </si>
  <si>
    <t xml:space="preserve">Moatize - Benga coal import                       </t>
  </si>
  <si>
    <t>ETCRBSCMO-I</t>
  </si>
  <si>
    <t xml:space="preserve">Mmamabula coal import                             </t>
  </si>
  <si>
    <t>ETCRBSCBO-I</t>
  </si>
  <si>
    <t>ECoal_CB</t>
  </si>
  <si>
    <t>ECoal</t>
  </si>
  <si>
    <t xml:space="preserve">TUTUKA                                            </t>
  </si>
  <si>
    <t>ETCLESC-N</t>
  </si>
  <si>
    <t>ECoal_WB</t>
  </si>
  <si>
    <t>Supercritical Coal - Waterberg Region</t>
  </si>
  <si>
    <t>ETCLESC-N-A</t>
  </si>
  <si>
    <t xml:space="preserve">ROOIWAL                                           </t>
  </si>
  <si>
    <t>ETCLEROOI-E</t>
  </si>
  <si>
    <t xml:space="preserve">PRETORIA WEST                                     </t>
  </si>
  <si>
    <t>ETCLEPRET-E</t>
  </si>
  <si>
    <t xml:space="preserve">Sasol SSF                                         </t>
  </si>
  <si>
    <t xml:space="preserve">Sasol Infrachem                                   </t>
  </si>
  <si>
    <t>MATIMBA - WB</t>
  </si>
  <si>
    <t>ETCLEPFD-E-A</t>
  </si>
  <si>
    <t>ETCLEMED-N-A</t>
  </si>
  <si>
    <t xml:space="preserve">MATLA                                             </t>
  </si>
  <si>
    <t xml:space="preserve">MATIMBA                                           </t>
  </si>
  <si>
    <t xml:space="preserve">MAJUBA WET                                        </t>
  </si>
  <si>
    <t xml:space="preserve">MAJUBA DRY                                        </t>
  </si>
  <si>
    <t xml:space="preserve">LETHABO                                           </t>
  </si>
  <si>
    <t xml:space="preserve">KRIEL                                             </t>
  </si>
  <si>
    <t xml:space="preserve">KOMATI                                            </t>
  </si>
  <si>
    <t xml:space="preserve">KENDAL                                            </t>
  </si>
  <si>
    <t xml:space="preserve">KELVIN B                                          </t>
  </si>
  <si>
    <t xml:space="preserve">KELVIN A                                          </t>
  </si>
  <si>
    <t>ETCLEKELA-E</t>
  </si>
  <si>
    <t xml:space="preserve">Integrated Gasification Combined Cycle Coal       </t>
  </si>
  <si>
    <t>ETCLEIG-N</t>
  </si>
  <si>
    <t xml:space="preserve">HENDRINA                                          </t>
  </si>
  <si>
    <t xml:space="preserve">GROOTVLEI                                         </t>
  </si>
  <si>
    <t xml:space="preserve">DUVHA                                             </t>
  </si>
  <si>
    <t xml:space="preserve">CAMDEN                                            </t>
  </si>
  <si>
    <t xml:space="preserve">ARNOT                                             </t>
  </si>
  <si>
    <t xml:space="preserve">Fluidised Bed Combustion Coal                     </t>
  </si>
  <si>
    <t>EBattery-Utility</t>
  </si>
  <si>
    <t>EBattery</t>
  </si>
  <si>
    <t xml:space="preserve">Utility storage - Li ion battery                  </t>
  </si>
  <si>
    <t>EBattery-Residential</t>
  </si>
  <si>
    <t xml:space="preserve">Residential - Li ion battery                      </t>
  </si>
  <si>
    <t>ESTSRES</t>
  </si>
  <si>
    <t>EBattery-Industry</t>
  </si>
  <si>
    <t xml:space="preserve">Industry Pulp and Paper - Li ion battery          </t>
  </si>
  <si>
    <t>ESTSIPP</t>
  </si>
  <si>
    <t xml:space="preserve">Industry Other - Li ion battery                   </t>
  </si>
  <si>
    <t>ESTSIOT</t>
  </si>
  <si>
    <t xml:space="preserve">Industry Non-metallic Minerals - Li ion battery   </t>
  </si>
  <si>
    <t>ESTSINM</t>
  </si>
  <si>
    <t xml:space="preserve">Industry Non-Ferrous Metals - Li ion battery      </t>
  </si>
  <si>
    <t>ESTSINF</t>
  </si>
  <si>
    <t xml:space="preserve">Industry Iron and Steel - Li ion battery          </t>
  </si>
  <si>
    <t>ESTSIIS</t>
  </si>
  <si>
    <t xml:space="preserve">Industry Food and beverages - Li ion battery      </t>
  </si>
  <si>
    <t>ESTSIFB</t>
  </si>
  <si>
    <t xml:space="preserve">Industry Ferro-Alloys - Li ion battery            </t>
  </si>
  <si>
    <t>ESTSIFA</t>
  </si>
  <si>
    <t xml:space="preserve">Industry chemicals - Li ion battery               </t>
  </si>
  <si>
    <t>ESTSICP</t>
  </si>
  <si>
    <t>EBattery-Commerce</t>
  </si>
  <si>
    <t xml:space="preserve">Commercial - Li ion battery                       </t>
  </si>
  <si>
    <t>ESTSCOM</t>
  </si>
  <si>
    <t>EWind</t>
  </si>
  <si>
    <t xml:space="preserve">Wind medium resource                              </t>
  </si>
  <si>
    <t>ERWNDM-N</t>
  </si>
  <si>
    <t xml:space="preserve">Wind high resource                                </t>
  </si>
  <si>
    <t>ECSP</t>
  </si>
  <si>
    <t xml:space="preserve">Solar Parabolic Trough 09 hrs storage             </t>
  </si>
  <si>
    <t>ERSOLTT09-N</t>
  </si>
  <si>
    <t xml:space="preserve">Solar Parabolic Trough 06 hrs storage             </t>
  </si>
  <si>
    <t>ERSOLTT06-N</t>
  </si>
  <si>
    <t xml:space="preserve">Solar Parabolic Trough 03 hrs storage             </t>
  </si>
  <si>
    <t>ERSOLTT03-N</t>
  </si>
  <si>
    <t xml:space="preserve">Solar Parabolic Trough 0 storage                  </t>
  </si>
  <si>
    <t>ERSOLTT00-N</t>
  </si>
  <si>
    <t xml:space="preserve">Solar Central Receiver 14 hrs storage             </t>
  </si>
  <si>
    <t>ERSOLTC14-N</t>
  </si>
  <si>
    <t xml:space="preserve">Solar Central Receiver 12 hrs storage             </t>
  </si>
  <si>
    <t>ERSOLTC12-N</t>
  </si>
  <si>
    <t xml:space="preserve">Solar Central Receiver 09 hrs storage CSIR eq     </t>
  </si>
  <si>
    <t>ERSOLTC09C-N</t>
  </si>
  <si>
    <t xml:space="preserve">Solar Central Receiver 09 hrs storage             </t>
  </si>
  <si>
    <t xml:space="preserve">Solar Central Receiver 06 hrs storage             </t>
  </si>
  <si>
    <t>ERSOLTC06-N</t>
  </si>
  <si>
    <t xml:space="preserve">Solar Central Receiver 03 hrs storage             </t>
  </si>
  <si>
    <t>ERSOLTC03-N</t>
  </si>
  <si>
    <t>EPV_RfTpRES</t>
  </si>
  <si>
    <t>EPV</t>
  </si>
  <si>
    <t xml:space="preserve">Solar PV rooftop residential                      </t>
  </si>
  <si>
    <t>EPV_RfTpCOM</t>
  </si>
  <si>
    <t xml:space="preserve">Solar PV rooftop commercial                       </t>
  </si>
  <si>
    <t>EPV_RfTpIND</t>
  </si>
  <si>
    <t xml:space="preserve">Solar PV rooftop Industry pulp and paper          </t>
  </si>
  <si>
    <t>ERSOLPIPP-N</t>
  </si>
  <si>
    <t xml:space="preserve">Solar PV rooftop Industry Other                   </t>
  </si>
  <si>
    <t>ERSOLPIOT-N</t>
  </si>
  <si>
    <t xml:space="preserve">Solar PV rooftop Industry non-metallic minerals   </t>
  </si>
  <si>
    <t>ERSOLPINM-N</t>
  </si>
  <si>
    <t xml:space="preserve">Solar PV rooftop Industry non-ferrous metals      </t>
  </si>
  <si>
    <t>ERSOLPINF-N</t>
  </si>
  <si>
    <t xml:space="preserve">Solar PV rooftop Industry Iron and steel          </t>
  </si>
  <si>
    <t>ERSOLPIIS-N</t>
  </si>
  <si>
    <t xml:space="preserve">Solar PV rooftop Industry food and beverage       </t>
  </si>
  <si>
    <t>ERSOLPIFB-N</t>
  </si>
  <si>
    <t xml:space="preserve">Solar PV rooftop Industry Ferro-Alloys            </t>
  </si>
  <si>
    <t>ERSOLPIFA-N</t>
  </si>
  <si>
    <t xml:space="preserve">Solar PV rooftop Industry chemicals               </t>
  </si>
  <si>
    <t>ERSOLPICP-N</t>
  </si>
  <si>
    <t>EPV_Grid</t>
  </si>
  <si>
    <t xml:space="preserve">Solar PV tracking                                 </t>
  </si>
  <si>
    <t xml:space="preserve">Solar PV Fixed                                    </t>
  </si>
  <si>
    <t xml:space="preserve">Mphanda Nkuwa hydro import (Moz A)                </t>
  </si>
  <si>
    <t>ERHYDM-I</t>
  </si>
  <si>
    <t xml:space="preserve">Kariba North Bank extension hydro import Zam C)   </t>
  </si>
  <si>
    <t>ERHYDK-I</t>
  </si>
  <si>
    <t xml:space="preserve">Ithezi Tezhi hydro import (Zam B)                 </t>
  </si>
  <si>
    <t>ERHYDI-I</t>
  </si>
  <si>
    <t xml:space="preserve">HCB North hydro import (Moz B)                    </t>
  </si>
  <si>
    <t>ERHYDH-I</t>
  </si>
  <si>
    <t xml:space="preserve">Grand Inga (West)                                 </t>
  </si>
  <si>
    <t xml:space="preserve">Grand Inga (East)                                 </t>
  </si>
  <si>
    <t>ERHYDGIE-I</t>
  </si>
  <si>
    <t xml:space="preserve">Kafue hydro import (Zam A)                        </t>
  </si>
  <si>
    <t>ERHYDF-I</t>
  </si>
  <si>
    <t xml:space="preserve">Boroma - Quedas Ocua hydro import (Moz C)         </t>
  </si>
  <si>
    <t>ERHYDB-I</t>
  </si>
  <si>
    <t>EHydro</t>
  </si>
  <si>
    <t xml:space="preserve">Micro hydro                                       </t>
  </si>
  <si>
    <t xml:space="preserve">Hydro Existing Region                             </t>
  </si>
  <si>
    <t xml:space="preserve">Hydro Existing South Africa                       </t>
  </si>
  <si>
    <t>EBiomass</t>
  </si>
  <si>
    <t xml:space="preserve">Biomass municipal waste                           </t>
  </si>
  <si>
    <t xml:space="preserve">Landfill gas                                      </t>
  </si>
  <si>
    <t>EPumpStorage</t>
  </si>
  <si>
    <t>Pumped Storage Existing</t>
  </si>
  <si>
    <t>Pumped Storage New</t>
  </si>
  <si>
    <t xml:space="preserve">Pumped Storage New turbine                        </t>
  </si>
  <si>
    <t>EPT-N</t>
  </si>
  <si>
    <t xml:space="preserve">Pumped Storage Existing turbine                   </t>
  </si>
  <si>
    <t>EPT-E</t>
  </si>
  <si>
    <t>Index in Ref Table</t>
  </si>
  <si>
    <t>Subsubsector</t>
  </si>
  <si>
    <t>Subsector</t>
  </si>
  <si>
    <t>Sector</t>
  </si>
  <si>
    <t>TechDescription</t>
  </si>
  <si>
    <t>Process</t>
  </si>
  <si>
    <t>If Include Eskom vision</t>
  </si>
  <si>
    <t>2012 Employment '000 empl./GW</t>
  </si>
  <si>
    <t>Employment</t>
  </si>
  <si>
    <t>weighted Share</t>
  </si>
  <si>
    <t>Share</t>
  </si>
  <si>
    <t>BY Capacity (GW)</t>
  </si>
  <si>
    <t>BY Customers (m)</t>
  </si>
  <si>
    <t>Satim sub-Sectors</t>
  </si>
  <si>
    <t>Weighting</t>
  </si>
  <si>
    <t>Redistributors</t>
  </si>
  <si>
    <t>General</t>
  </si>
  <si>
    <t>Transport</t>
  </si>
  <si>
    <t>Manufacturing/industrial</t>
  </si>
  <si>
    <t>Mining</t>
  </si>
  <si>
    <t>Agriculture</t>
  </si>
  <si>
    <t>Total Customers (million)</t>
  </si>
  <si>
    <t>Customer Category</t>
  </si>
  <si>
    <t>Distribution Details</t>
  </si>
  <si>
    <t>Hydro existing South Africa</t>
  </si>
  <si>
    <t>Empl. (Tx+HQ)</t>
  </si>
  <si>
    <t>000 empl./GW</t>
  </si>
  <si>
    <t>Empl. (Tx only)</t>
  </si>
  <si>
    <t>Transmission Capacity</t>
  </si>
  <si>
    <t>Model 2050</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</si>
  <si>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</si>
  <si>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</si>
  <si>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</si>
  <si>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</si>
  <si>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</si>
  <si>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</si>
  <si>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</si>
  <si>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</si>
  <si>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</si>
  <si>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</si>
  <si>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</si>
  <si>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</si>
  <si>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</si>
  <si>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Generation</t>
  </si>
  <si>
    <t>ROOIWAL</t>
  </si>
  <si>
    <t>Head Office/other</t>
  </si>
  <si>
    <t>From NERSA</t>
  </si>
  <si>
    <t>PRETORIA WEST</t>
  </si>
  <si>
    <t>KELVIN A</t>
  </si>
  <si>
    <t>Other (Tx+Head office)</t>
  </si>
  <si>
    <t>Eskom (Gx+ Other)</t>
  </si>
  <si>
    <t>Eskom Distribution</t>
  </si>
  <si>
    <t>Munics</t>
  </si>
  <si>
    <t>Total Employed at Eskom</t>
  </si>
  <si>
    <t>base</t>
  </si>
  <si>
    <t>nat</t>
  </si>
  <si>
    <t>flab-t</t>
  </si>
  <si>
    <t>flab-s</t>
  </si>
  <si>
    <t>flab-m</t>
  </si>
  <si>
    <t>flab-p</t>
  </si>
  <si>
    <t>Total employed in electricity sector:</t>
  </si>
  <si>
    <t>From SAM</t>
  </si>
  <si>
    <t>Will use this</t>
  </si>
  <si>
    <t>Balancing Nuclear with average</t>
  </si>
  <si>
    <t>Total Gx</t>
  </si>
  <si>
    <t>jobs</t>
  </si>
  <si>
    <t>This seems too low</t>
  </si>
  <si>
    <t>Ecoal (Eskom only)</t>
  </si>
  <si>
    <t>jobs/TWh</t>
  </si>
  <si>
    <t>jobs/GW/yr</t>
  </si>
  <si>
    <t>Employees</t>
  </si>
  <si>
    <t>EIA_2017</t>
  </si>
  <si>
    <t>McKinsey/IEP</t>
  </si>
  <si>
    <t>http://www.energy.gov.za/files/IEP/2016/IEP-AnnexureB-Macroeconomic-Assumptions.pdf</t>
  </si>
  <si>
    <t>REIPPP round 3</t>
  </si>
  <si>
    <t>REIPPP round 1,2</t>
  </si>
  <si>
    <t>PV</t>
  </si>
  <si>
    <t>jobs/GW</t>
  </si>
  <si>
    <t>http://www.eskom.co.za/Whatweredoing/ElectricityGeneration/KoebergNuclearPowerStation/TheKoebergExperience/Pages/The_Koeberg_Experience.aspx</t>
  </si>
  <si>
    <t>Average Coal</t>
  </si>
  <si>
    <t>CSP average (round 1-3)</t>
  </si>
  <si>
    <t>Wind average (round 1-3)</t>
  </si>
  <si>
    <t>PV average (round 1-2)</t>
  </si>
  <si>
    <t>Job years/GW</t>
  </si>
  <si>
    <t>Jobs/TWh</t>
  </si>
  <si>
    <t>O&amp;M Jobs</t>
  </si>
  <si>
    <t>Plant</t>
  </si>
  <si>
    <t>Job years/TWh</t>
  </si>
  <si>
    <t>Cumul TWh</t>
  </si>
  <si>
    <t>Annual Jobs/TWh</t>
  </si>
  <si>
    <t>Annual TWh</t>
  </si>
  <si>
    <t>Annual O&amp;M Jobs/GW</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</si>
  <si>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</si>
  <si>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</si>
  <si>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</si>
  <si>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</si>
  <si>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</si>
  <si>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</si>
  <si>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</si>
  <si>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</si>
  <si>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</si>
  <si>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</si>
  <si>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</si>
  <si>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</si>
  <si>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</si>
  <si>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</si>
  <si>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</si>
  <si>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</si>
  <si>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</si>
  <si>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</si>
  <si>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</si>
  <si>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</si>
  <si>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</si>
  <si>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</si>
  <si>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</si>
  <si>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</si>
  <si>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</si>
  <si>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</si>
  <si>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</si>
  <si>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</si>
  <si>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</si>
  <si>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</si>
  <si>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</si>
  <si>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</si>
  <si>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</si>
  <si>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</si>
  <si>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</si>
  <si>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</si>
  <si>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</si>
  <si>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</si>
  <si>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</si>
  <si>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</si>
  <si>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</si>
  <si>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</si>
  <si>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</si>
  <si>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</si>
  <si>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</si>
  <si>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</si>
  <si>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</si>
  <si>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</si>
  <si>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</si>
  <si>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</si>
  <si>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</si>
  <si>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</si>
  <si>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</si>
  <si>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</si>
  <si>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</si>
  <si>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</si>
  <si>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</si>
  <si>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</si>
  <si>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</si>
  <si>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</si>
  <si>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</si>
  <si>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</si>
  <si>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</si>
  <si>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</si>
  <si>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</si>
  <si>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</si>
  <si>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</si>
  <si>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</si>
  <si>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</si>
  <si>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</si>
  <si>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</si>
  <si>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</si>
  <si>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</si>
  <si>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</si>
  <si>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</si>
  <si>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</si>
  <si>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</si>
  <si>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</si>
  <si>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</si>
  <si>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</si>
  <si>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</si>
  <si>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</si>
  <si>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</si>
  <si>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</si>
  <si>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</si>
  <si>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</si>
  <si>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</si>
  <si>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</si>
  <si>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</si>
  <si>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</si>
  <si>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</si>
  <si>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</si>
  <si>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</si>
  <si>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</si>
  <si>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</si>
  <si>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</si>
  <si>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</si>
  <si>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</si>
  <si>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</si>
  <si>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</si>
  <si>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</si>
  <si>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</si>
  <si>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</si>
  <si>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</si>
  <si>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</si>
  <si>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</si>
  <si>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</si>
  <si>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</si>
  <si>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</si>
  <si>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</si>
  <si>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</si>
  <si>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</si>
  <si>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</si>
  <si>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</si>
  <si>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</si>
  <si>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</si>
  <si>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</si>
  <si>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</si>
  <si>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</si>
  <si>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</si>
  <si>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</si>
  <si>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</si>
  <si>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</si>
  <si>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</si>
  <si>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</si>
  <si>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</si>
  <si>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</si>
  <si>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</si>
  <si>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</si>
  <si>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</si>
  <si>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</si>
  <si>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</si>
  <si>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</si>
  <si>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</si>
  <si>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</si>
  <si>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</si>
  <si>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</si>
  <si>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</si>
  <si>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</si>
  <si>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</si>
  <si>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</si>
  <si>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</si>
  <si>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</si>
  <si>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</si>
  <si>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</si>
  <si>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</si>
  <si>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</si>
  <si>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</si>
  <si>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</si>
  <si>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</si>
  <si>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</si>
  <si>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</si>
  <si>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</si>
  <si>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</si>
  <si>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</si>
  <si>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</si>
  <si>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</si>
  <si>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</si>
  <si>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</si>
  <si>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</si>
  <si>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</si>
  <si>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</si>
  <si>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</si>
  <si>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</si>
  <si>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</si>
  <si>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</si>
  <si>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</si>
  <si>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</si>
  <si>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</si>
  <si>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</si>
  <si>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</si>
  <si>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</si>
  <si>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</si>
  <si>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</si>
  <si>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</si>
  <si>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</si>
  <si>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</si>
  <si>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</si>
  <si>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</si>
  <si>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</si>
  <si>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</si>
  <si>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</si>
  <si>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</si>
  <si>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</si>
  <si>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</si>
  <si>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</si>
  <si>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</si>
  <si>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</si>
  <si>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</si>
  <si>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</si>
  <si>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</si>
  <si>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</si>
  <si>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</si>
  <si>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</si>
  <si>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</si>
  <si>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Eps</t>
  </si>
  <si>
    <t>resid</t>
  </si>
  <si>
    <t>COST_INV(2012)</t>
  </si>
  <si>
    <t>Scaled 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</si>
  <si>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</si>
  <si>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</si>
  <si>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</si>
  <si>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</si>
  <si>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</si>
  <si>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</si>
  <si>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</si>
  <si>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</si>
  <si>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</si>
  <si>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</si>
  <si>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</si>
  <si>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</si>
  <si>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</si>
  <si>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</si>
  <si>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</si>
  <si>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</si>
  <si>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</si>
  <si>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</si>
  <si>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</si>
  <si>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</si>
  <si>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</si>
  <si>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</si>
  <si>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</si>
  <si>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</si>
  <si>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</si>
  <si>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</si>
  <si>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</si>
  <si>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NERSA 2012 (table 6.5) (Munics - own use)</t>
  </si>
  <si>
    <t>non-eskom</t>
  </si>
  <si>
    <t>NERSA 2012 (table 6.5) (Eskom - own use - redistributors)</t>
  </si>
  <si>
    <t>NERSA 2012 (Table 3.2, Eskom Net Maximum Power)</t>
  </si>
  <si>
    <t>NERSA 2012 (Table 3.2, Munics Net Maximum Power)</t>
  </si>
  <si>
    <t>Non-Eskom</t>
  </si>
  <si>
    <t>Generation Capacity</t>
  </si>
  <si>
    <t>Total net maintenance (Rm)</t>
  </si>
  <si>
    <t>Capitalised</t>
  </si>
  <si>
    <t>Consulting fees included in gross</t>
  </si>
  <si>
    <t>Manpower included in gross</t>
  </si>
  <si>
    <t>Total gross costs (Rm)</t>
  </si>
  <si>
    <t>Corporate</t>
  </si>
  <si>
    <t>Eskom MYPD3 Table 23: gross maintenance costs per division</t>
  </si>
  <si>
    <t>2012/13</t>
  </si>
  <si>
    <t>Avg Unit cost (2012 Rands)</t>
  </si>
  <si>
    <t>Avg Unit cost (2015 Rands)</t>
  </si>
  <si>
    <t>1.172 (conversion from 2012-&gt;2015)</t>
  </si>
  <si>
    <t>Fuel (2015 Rands)</t>
  </si>
  <si>
    <t>2012 SAM</t>
  </si>
  <si>
    <t>Fuel (incl.tra-coal) (2012 Rands)</t>
  </si>
  <si>
    <t>Dx</t>
  </si>
  <si>
    <t>Tx+other corporate</t>
  </si>
  <si>
    <t>Other Operating Costs (2012 Rands)</t>
  </si>
  <si>
    <t>ZAR/USD Exchange Rate from IRP 2010:</t>
  </si>
  <si>
    <t>South Africa</t>
  </si>
  <si>
    <t>Country Name</t>
  </si>
  <si>
    <t>Real effective exchange rate index (2010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</si>
  <si>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</si>
  <si>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</si>
  <si>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</si>
  <si>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</si>
  <si>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</si>
  <si>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</si>
  <si>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</si>
  <si>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</si>
  <si>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</si>
  <si>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</si>
  <si>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August 2016</t>
  </si>
  <si>
    <t>http://search.worldbank.org/data?qterm=gdp%20deflator%20%22south%20africa%22&amp;language=EN</t>
  </si>
  <si>
    <t>GDP deflator (annual change %) for South Africa from "The World Bank"</t>
  </si>
  <si>
    <t>http://beta2.statssa.gov.za/publications/P0141/CPIHistory.pdf</t>
  </si>
  <si>
    <t>Investment Cost R/kW</t>
  </si>
  <si>
    <t>Existing Capacity GW</t>
  </si>
  <si>
    <t>Dummy Commodity for ETRANSDUM</t>
  </si>
  <si>
    <t>COM_PEAK</t>
  </si>
  <si>
    <t>Export Limit</t>
  </si>
  <si>
    <t>* Export technologies</t>
  </si>
  <si>
    <t>* Export Technologies</t>
  </si>
  <si>
    <t>PEXELC</t>
  </si>
  <si>
    <t>Exports of Electricity</t>
  </si>
  <si>
    <t>ACT_BND-FX</t>
  </si>
  <si>
    <t>2017 PJ</t>
  </si>
  <si>
    <t>Excl.Sasol</t>
  </si>
  <si>
    <t>Incl.Sasol</t>
  </si>
  <si>
    <t>Elc actual</t>
  </si>
  <si>
    <t>Gas actual(estimate)</t>
  </si>
  <si>
    <t>Inventory</t>
  </si>
  <si>
    <t>Total Gas gen</t>
  </si>
  <si>
    <t>Gas burnt</t>
  </si>
  <si>
    <t>Sheets to Import</t>
  </si>
  <si>
    <t>Sheet Name</t>
  </si>
  <si>
    <t>Import?</t>
  </si>
  <si>
    <t>* Existing Power Plants</t>
  </si>
  <si>
    <t>Number of Units</t>
  </si>
  <si>
    <t>Availability 2020</t>
  </si>
  <si>
    <t>Number of units derated</t>
  </si>
  <si>
    <t>Maximum contribution in terms of capacity</t>
  </si>
  <si>
    <t>Capacity in 2020</t>
  </si>
  <si>
    <t>Contributions in terms of energy</t>
  </si>
  <si>
    <t>Availability 2025</t>
  </si>
  <si>
    <t>Availability 2030</t>
  </si>
  <si>
    <t>Availability 2012</t>
  </si>
  <si>
    <t>Availability 2017</t>
  </si>
  <si>
    <t>Moderate RE Program</t>
  </si>
  <si>
    <t>RE Program</t>
  </si>
  <si>
    <t>6,800MW to be generated from renewable energy sources (PV and wind);</t>
  </si>
  <si>
    <t>513MW to be generated from storage;</t>
  </si>
  <si>
    <t>3,000MW to be generated from gas;</t>
  </si>
  <si>
    <t>1,500MW to be generated from coal.</t>
  </si>
  <si>
    <t>Determinations</t>
  </si>
  <si>
    <t>https://www.esi-africa.com/industry-sectors/generation/south-africa-breakthrough-for-procurement-of-surplus-electricity/</t>
  </si>
  <si>
    <t>ACACIA</t>
  </si>
  <si>
    <t>ANKERLIG</t>
  </si>
  <si>
    <t>GOURIKWA</t>
  </si>
  <si>
    <t>PORT REX</t>
  </si>
  <si>
    <t>GARIEP</t>
  </si>
  <si>
    <t>DRAKENSBERG</t>
  </si>
  <si>
    <t>INGULA</t>
  </si>
  <si>
    <t>PALMIET</t>
  </si>
  <si>
    <t>PEAKING</t>
  </si>
  <si>
    <t>KOEBERG</t>
  </si>
  <si>
    <t>NUCLEAR</t>
  </si>
  <si>
    <t>MAJUBA</t>
  </si>
  <si>
    <t>BIG 10</t>
  </si>
  <si>
    <t>TOTAL RTS</t>
  </si>
  <si>
    <t>Current Fleet total</t>
  </si>
  <si>
    <t>NEW build</t>
  </si>
  <si>
    <t>ESKOm total</t>
  </si>
  <si>
    <t>Availability Data from IRP</t>
  </si>
  <si>
    <t>IRP Data row</t>
  </si>
  <si>
    <t>Used in Model - Reference Case</t>
  </si>
  <si>
    <t>Weighted Average Coal</t>
  </si>
  <si>
    <t>VANDERKLOOF</t>
  </si>
  <si>
    <t>Peaking</t>
  </si>
  <si>
    <t>Weighted Average Total</t>
  </si>
  <si>
    <t>low</t>
  </si>
  <si>
    <t>mid</t>
  </si>
  <si>
    <t>high</t>
  </si>
  <si>
    <t>Hist.EAF</t>
  </si>
  <si>
    <t>EAF category</t>
  </si>
  <si>
    <t>Minimum</t>
  </si>
  <si>
    <t>Low EAF</t>
  </si>
  <si>
    <t>Model (TWh)</t>
  </si>
  <si>
    <t>Data from hourly dispatch obtained from Jarrad (Eskom - MWh)</t>
  </si>
  <si>
    <t>Year Endo-retire</t>
  </si>
  <si>
    <t>Units Left</t>
  </si>
  <si>
    <t>RCAP_BND-UP</t>
  </si>
  <si>
    <t>Endo retirement upper limit</t>
  </si>
  <si>
    <t>Endo-retirement flag</t>
  </si>
  <si>
    <t>PRC_RCAP</t>
  </si>
  <si>
    <t>Endo-Retire</t>
  </si>
  <si>
    <t>storage</t>
  </si>
  <si>
    <t>pv</t>
  </si>
  <si>
    <t>wind</t>
  </si>
  <si>
    <t>gas</t>
  </si>
  <si>
    <t>sum</t>
  </si>
  <si>
    <t>cumul</t>
  </si>
  <si>
    <t>Utility Fixed tilt</t>
  </si>
  <si>
    <t>Utility tracking</t>
  </si>
  <si>
    <t>Ratio relative to tracking</t>
  </si>
  <si>
    <t>Ratio relative to fixed</t>
  </si>
  <si>
    <t>https://www.nrel.gov/docs/fy19osti/72399.pdf</t>
  </si>
  <si>
    <t>Page viii</t>
  </si>
  <si>
    <t>Ramp Rates</t>
  </si>
  <si>
    <t>WEEKLY</t>
  </si>
  <si>
    <t>Coal Plants,CCGT Timeslice Resolution</t>
  </si>
  <si>
    <t>Can't change output level within daytype/season</t>
  </si>
  <si>
    <t>Can change output level diurnaly</t>
  </si>
  <si>
    <t>Ramp up limit</t>
  </si>
  <si>
    <t>Ramp down limit</t>
  </si>
  <si>
    <t>ACT_UPS-UP</t>
  </si>
  <si>
    <t>ACT_UPS-LO</t>
  </si>
  <si>
    <t>* Other commodities</t>
  </si>
  <si>
    <t>PWROHF</t>
  </si>
  <si>
    <t>Power Oil HFO</t>
  </si>
  <si>
    <t>XPWROHF</t>
  </si>
  <si>
    <t>* Fuel Supply Technologies</t>
  </si>
  <si>
    <t>Relationship between main activity flow and other flows</t>
  </si>
  <si>
    <t>PRC_ACTFLO</t>
  </si>
  <si>
    <t>HFO per ELC</t>
  </si>
  <si>
    <t>Total Elc (PJ)</t>
  </si>
  <si>
    <t>Total HFO (PJ)</t>
  </si>
  <si>
    <t>PWROKE</t>
  </si>
  <si>
    <t>Power Oil Kerosene</t>
  </si>
  <si>
    <t>XPWROKE</t>
  </si>
  <si>
    <t>Total Kerosene (PJ)</t>
  </si>
  <si>
    <t>Kerosene per ELC</t>
  </si>
  <si>
    <t>OHF</t>
  </si>
  <si>
    <t>OKE</t>
  </si>
  <si>
    <t>Oil HFO</t>
  </si>
  <si>
    <t>Oil Kerosene</t>
  </si>
  <si>
    <t>Flow Efficiency</t>
  </si>
  <si>
    <t>FLO_EFF-I</t>
  </si>
  <si>
    <t>From Annexure A: Technology Costs.xlsx received from DMRE via CER. June 2020.</t>
  </si>
  <si>
    <t>from deWit (2014).</t>
  </si>
  <si>
    <t>ETHGNGT-N</t>
  </si>
  <si>
    <t>PWRHGN</t>
  </si>
  <si>
    <t>ACWA Redstone</t>
  </si>
  <si>
    <t>Cost</t>
  </si>
  <si>
    <t>Investment cost</t>
  </si>
  <si>
    <t>2019 m$</t>
  </si>
  <si>
    <t xml:space="preserve">2015 mR </t>
  </si>
  <si>
    <t>IRP</t>
  </si>
  <si>
    <t>https://www.acwapower.com/Flip/Redstone-CSP-IPP-26-5-19-Compressed/index.html</t>
  </si>
  <si>
    <t>2015 R/2019$</t>
  </si>
  <si>
    <t>Exchange rate</t>
  </si>
  <si>
    <t>See Exchange Rate workbook</t>
  </si>
  <si>
    <t>Maintenance</t>
  </si>
  <si>
    <t>R/kW</t>
  </si>
  <si>
    <t>CapFac</t>
  </si>
  <si>
    <t>Lev Cost</t>
  </si>
  <si>
    <t>2015 R/kWh</t>
  </si>
  <si>
    <t>ACWA stated</t>
  </si>
  <si>
    <t>Rate</t>
  </si>
  <si>
    <t>2019 R/kWh</t>
  </si>
  <si>
    <t>2019 R</t>
  </si>
  <si>
    <t>2017 R</t>
  </si>
  <si>
    <t>2015 R</t>
  </si>
  <si>
    <t>Coal CCS</t>
  </si>
  <si>
    <t>Heat Rate  (kJ/kWh) Average</t>
  </si>
  <si>
    <t>Generic Waterberg Coal Plant with CCS</t>
  </si>
  <si>
    <t>CCGT CCS</t>
  </si>
  <si>
    <t>ETCLE-CCS-N</t>
  </si>
  <si>
    <t>ETGICCC-CCS-N</t>
  </si>
  <si>
    <t>Combined Cycle Gas Turbine - LNG with CCS</t>
  </si>
  <si>
    <t>Emissions:</t>
  </si>
  <si>
    <t>CO2 (kg/MWh)</t>
  </si>
  <si>
    <t>kton/PJ coal</t>
  </si>
  <si>
    <t>Sox</t>
  </si>
  <si>
    <t>Nox</t>
  </si>
  <si>
    <t>Particulates</t>
  </si>
  <si>
    <t>2020 R/kW</t>
  </si>
  <si>
    <t>Coal+CCS</t>
  </si>
  <si>
    <t>PV (assumed no tracking)</t>
  </si>
  <si>
    <t>PV (single axis tracking)</t>
  </si>
  <si>
    <t>* NBI</t>
  </si>
  <si>
    <t>* IRENA</t>
  </si>
  <si>
    <t>Selected</t>
  </si>
  <si>
    <t>RE Cost Profiles</t>
  </si>
  <si>
    <t>* NREL 2020</t>
  </si>
  <si>
    <t>* Meridian 2020</t>
  </si>
  <si>
    <t>Overnight Capital Cost ($/kW)</t>
  </si>
  <si>
    <t>Utility PV - Seattle - Advanced</t>
  </si>
  <si>
    <t>Utility PV - Seattle - Moderate</t>
  </si>
  <si>
    <t>Utility PV - Seattle - Conservative</t>
  </si>
  <si>
    <t>Utility PV - Chicago - Advanced</t>
  </si>
  <si>
    <t>Utility PV - Chicago - Moderate</t>
  </si>
  <si>
    <t>Utility PV - Chicago - Conservative</t>
  </si>
  <si>
    <t>Utility PV - Kansas City - Advanced</t>
  </si>
  <si>
    <t>Utility PV - Kansas City - Moderate</t>
  </si>
  <si>
    <t>Utility PV - Kansas City - Conservative</t>
  </si>
  <si>
    <t>Utility PV - Los Angeles - Advanced</t>
  </si>
  <si>
    <t>Utility PV - Los Angeles - Moderate</t>
  </si>
  <si>
    <t>Utility PV - Los Angeles - Conservative</t>
  </si>
  <si>
    <t>Utility PV - Daggett, CA - Advanced</t>
  </si>
  <si>
    <t>Utility PV - Daggett, CA - Moderate</t>
  </si>
  <si>
    <t>Utility PV - Daggett, CA - Conservative</t>
  </si>
  <si>
    <t>PV-Low</t>
  </si>
  <si>
    <t>PV-Avg</t>
  </si>
  <si>
    <t>PV-High</t>
  </si>
  <si>
    <t>This is in line with EIA 2020: https://www.eia.gov/outlooks/aeo/assumptions/pdf/table_8.2.pdf</t>
  </si>
  <si>
    <t>Lazard 2020</t>
  </si>
  <si>
    <t>Overnight Cost for Utility PV</t>
  </si>
  <si>
    <t>Low</t>
  </si>
  <si>
    <t>High</t>
  </si>
  <si>
    <t>2020 $/kW</t>
  </si>
  <si>
    <t>https://www.lazard.com/media/451419/lazards-levelized-cost-of-energy-version-140.pdf</t>
  </si>
  <si>
    <t>* 25% Premium</t>
  </si>
  <si>
    <t>* 50% Premium</t>
  </si>
  <si>
    <t>* Lazzard 2020-L</t>
  </si>
  <si>
    <t>* Lazzard 2020-H</t>
  </si>
  <si>
    <t>Modules</t>
  </si>
  <si>
    <t>Metering</t>
  </si>
  <si>
    <t>Protection</t>
  </si>
  <si>
    <t>Inverter</t>
  </si>
  <si>
    <t>Mounting and Structures</t>
  </si>
  <si>
    <t>Engineering</t>
  </si>
  <si>
    <t>Owners Cost (10%)</t>
  </si>
  <si>
    <t>2020 Rands?</t>
  </si>
  <si>
    <t>System</t>
  </si>
  <si>
    <t>1,1</t>
  </si>
  <si>
    <t>8million</t>
  </si>
  <si>
    <t>million</t>
  </si>
  <si>
    <t>W/peak</t>
  </si>
  <si>
    <t>SAREM 2020</t>
  </si>
  <si>
    <t>1. least cost optimised; optimistic RE, new demand</t>
  </si>
  <si>
    <t>2.  irp technology shares but updated ito timing etc; irp/ref re costs; new demand?</t>
  </si>
  <si>
    <t>3. low ppd with all other variables the same as scen 1</t>
  </si>
  <si>
    <t>* 1% Premium</t>
  </si>
  <si>
    <t>* 5% Premium</t>
  </si>
  <si>
    <t>* 10% Premium</t>
  </si>
  <si>
    <t>* This study (UNEP/NREL/Fraunhofer) - Conservative</t>
  </si>
  <si>
    <t>* This Study (UNEP/NREL/Fraunhofer) - Optimistic</t>
  </si>
  <si>
    <t>seia.org</t>
  </si>
  <si>
    <t>* WoodMac 2020</t>
  </si>
  <si>
    <t>WoodMack</t>
  </si>
  <si>
    <t>No tracking</t>
  </si>
  <si>
    <t>Electricity exports</t>
  </si>
  <si>
    <t>Eskom Integrated Report 2020</t>
  </si>
  <si>
    <t xml:space="preserve">Revenue </t>
  </si>
  <si>
    <t>Tariff</t>
  </si>
  <si>
    <t>Deflator</t>
  </si>
  <si>
    <t>KT</t>
  </si>
  <si>
    <t>For tracking environmental Levy</t>
  </si>
  <si>
    <t>COM_CSTNET</t>
  </si>
  <si>
    <t>Environmental levy</t>
  </si>
  <si>
    <t>2015 c/kWh</t>
  </si>
  <si>
    <t>Inflation</t>
  </si>
  <si>
    <t>Deflate Env Levy?</t>
  </si>
  <si>
    <t>PWRWAT</t>
  </si>
  <si>
    <t>Water for Power Sector</t>
  </si>
  <si>
    <t>Solar (with single axis Tracking costs) R/kW</t>
  </si>
  <si>
    <t>NREL, 2020, U.S. Solar Photovoltaic System and Energy Storage Cost Benchmark: Q1 2020</t>
  </si>
  <si>
    <t>Link</t>
  </si>
  <si>
    <t>https://www.nrel.gov/docs/fy21osti/77324.pdf</t>
  </si>
  <si>
    <t>Overnight EPC Cost for Utility PV</t>
  </si>
  <si>
    <t>Owners Cost</t>
  </si>
  <si>
    <t>2020 $/kWdc</t>
  </si>
  <si>
    <t>2015 R/kWac</t>
  </si>
  <si>
    <t>DC/AC ratio</t>
  </si>
  <si>
    <t>* NBI w adj. for tracking</t>
  </si>
  <si>
    <t>Ecoal elc output (PJ)</t>
  </si>
  <si>
    <t>Water Consumption l/MWh received from Eskom Petro Hendricks via Gina Downes August 2011</t>
  </si>
  <si>
    <t xml:space="preserve">Koeberg </t>
  </si>
  <si>
    <t>Water (l/MWh)</t>
  </si>
  <si>
    <t>Eskom 2011</t>
  </si>
  <si>
    <t>EPRI 2017</t>
  </si>
  <si>
    <t>Esimate</t>
  </si>
  <si>
    <t>EPRI 2017 - with FGD</t>
  </si>
  <si>
    <t>Relationship between main activity flow and other flows (l/GJ)</t>
  </si>
  <si>
    <t>Burton and Ireland 2018 pg10</t>
  </si>
  <si>
    <t>N2O calculation</t>
  </si>
  <si>
    <t>CO2</t>
  </si>
  <si>
    <t>kton/PJ</t>
  </si>
  <si>
    <t>CO2eq</t>
  </si>
  <si>
    <t>N2OCO2eq</t>
  </si>
  <si>
    <t>N2O</t>
  </si>
  <si>
    <t>GWP assumed</t>
  </si>
  <si>
    <t>Net Efficiency</t>
  </si>
  <si>
    <t>tonCO2eq/MWh</t>
  </si>
  <si>
    <t>tonN2O/MWh</t>
  </si>
  <si>
    <t>tonCO2/MWh</t>
  </si>
  <si>
    <t>gCO2/kWh</t>
  </si>
  <si>
    <t>Check Capacity</t>
  </si>
  <si>
    <t>Mton</t>
  </si>
  <si>
    <t>MINPWRWAT</t>
  </si>
  <si>
    <t>Water Supply for Power Sector</t>
  </si>
  <si>
    <t>Externality Costs (From IRP 2019)</t>
  </si>
  <si>
    <t>Value (from model)</t>
  </si>
  <si>
    <t>kton</t>
  </si>
  <si>
    <t>Hg</t>
  </si>
  <si>
    <t>PM</t>
  </si>
  <si>
    <t>2019 mR</t>
  </si>
  <si>
    <t>Checks</t>
  </si>
  <si>
    <t>PWRENV (GWh)</t>
  </si>
  <si>
    <t>Cost (mR)</t>
  </si>
  <si>
    <t>mR/GWh</t>
  </si>
  <si>
    <t>kg</t>
  </si>
  <si>
    <t>kg/MWh</t>
  </si>
  <si>
    <t>Checks (EPRI)</t>
  </si>
  <si>
    <t>R</t>
  </si>
  <si>
    <t>Mercury</t>
  </si>
  <si>
    <t>Total Eskom Mercury in 2015</t>
  </si>
  <si>
    <t>tons</t>
  </si>
  <si>
    <t>Total coal fired sent out</t>
  </si>
  <si>
    <t>Garnham, B.; Langerman, K.E. (2016): Belinda L.; Langerman, Kristy E. (2016): Mercury emissions from South Africa’s coal-fired power stations. Clean Air Journal. 26(2): 14 – 20</t>
  </si>
  <si>
    <t>Eskom Integrated report 2019 (FY 2015/2016)</t>
  </si>
  <si>
    <t>Mercury emission factor</t>
  </si>
  <si>
    <t>Calibration of emission factors</t>
  </si>
  <si>
    <t>2018-2019</t>
  </si>
  <si>
    <t>2018-2019 (MWh)</t>
  </si>
  <si>
    <t>Coal (PJ)</t>
  </si>
  <si>
    <t>Total sent out</t>
  </si>
  <si>
    <t>Factor</t>
  </si>
  <si>
    <t>Total Emissions</t>
  </si>
  <si>
    <t>From Diesel</t>
  </si>
  <si>
    <t>Fuel Factor (kton/PJ)</t>
  </si>
  <si>
    <t>Total fuel (PJ)</t>
  </si>
  <si>
    <t>ton/MWh</t>
  </si>
  <si>
    <t>From coal</t>
  </si>
  <si>
    <t>sox</t>
  </si>
  <si>
    <t>nox</t>
  </si>
  <si>
    <t>Total Elc (TWh)</t>
  </si>
  <si>
    <t>Power Sector Sulphur gases South Africa</t>
  </si>
  <si>
    <t>Power Sector Nitrogen gases South Africa</t>
  </si>
  <si>
    <t>Source: IRP 2019</t>
  </si>
  <si>
    <t>2015 R/kG (mR/kton)</t>
  </si>
  <si>
    <t>Externalities</t>
  </si>
  <si>
    <t>2017 R/kG</t>
  </si>
  <si>
    <t>https://www.miningweekly.com/article/new-seriti-power-name-indicative-of-coal-companys-general-energy-vision-teke-2021-05-17</t>
  </si>
  <si>
    <t>MINCSDUVHSER</t>
  </si>
  <si>
    <t>2017 c/kwh</t>
  </si>
  <si>
    <t>Thopil 2013 has 5.55 c/kWh</t>
  </si>
  <si>
    <t>Blgnaut 2017</t>
  </si>
  <si>
    <t>Levelized cost total</t>
  </si>
  <si>
    <t>R/MWh</t>
  </si>
  <si>
    <t>Water</t>
  </si>
  <si>
    <t>GHG</t>
  </si>
  <si>
    <t>Pollution</t>
  </si>
  <si>
    <t>c/kWh</t>
  </si>
  <si>
    <t>2013 Rands</t>
  </si>
  <si>
    <t>2013 c/kWh</t>
  </si>
  <si>
    <t>TIMES scenario components:</t>
  </si>
  <si>
    <t>All zeros in top table -&gt; TCH_PWR</t>
  </si>
  <si>
    <t>TCH_PWR_IRP</t>
  </si>
  <si>
    <t>All power plants techs and commodities</t>
  </si>
  <si>
    <t>IRP-Exact</t>
  </si>
  <si>
    <t>Not currently used</t>
  </si>
  <si>
    <t>IRP exactly as stated - not used</t>
  </si>
  <si>
    <t>TCH_PWR_REP</t>
  </si>
  <si>
    <t>TCH_PWR_MREP</t>
  </si>
  <si>
    <t>TCH_PWR_LEAF</t>
  </si>
  <si>
    <t>TCH_PWR_ER</t>
  </si>
  <si>
    <t>TCH_PWR_RR</t>
  </si>
  <si>
    <t>Slightly less ambitious RE program from IRP-Mod</t>
  </si>
  <si>
    <t>EAF set to CSIR/Meridian 2020</t>
  </si>
  <si>
    <t>Endogenous retirement of all plants (now in TCH_PWR)</t>
  </si>
  <si>
    <t>Ramp rates on coal plants, now in TCH_PWR</t>
  </si>
  <si>
    <t>TCH_PWR_REOC, and TCH_PWR_XXP</t>
  </si>
  <si>
    <t>TCH_PWR_EXT</t>
  </si>
  <si>
    <t>Alternate trajectories for RE costs</t>
  </si>
  <si>
    <t>Blignaut 2017</t>
  </si>
  <si>
    <t>IRP 2019</t>
  </si>
  <si>
    <t>Summary (damage cost R/kg)</t>
  </si>
  <si>
    <t>Mid</t>
  </si>
  <si>
    <t>Local air pollutants and externality costs</t>
  </si>
  <si>
    <t>2017 R/kg</t>
  </si>
  <si>
    <t>2015 R/kg</t>
  </si>
  <si>
    <t>Nkambule &amp; Blignaut 2017 (see table below)</t>
  </si>
  <si>
    <t>PWRPM10</t>
  </si>
  <si>
    <t>Power Sector Particulate Emissions</t>
  </si>
  <si>
    <t>PM10</t>
  </si>
  <si>
    <t>REF</t>
  </si>
  <si>
    <t>LEAF</t>
  </si>
  <si>
    <t>Selected EAF Scenario</t>
  </si>
  <si>
    <t>Eskom only</t>
  </si>
  <si>
    <t>https://www.eskom.co.za/Whatweredoing/SupplyStatus/Pages/SupplyStatusT.aspx</t>
  </si>
  <si>
    <t>Check which one is set (LEAF/REF) before importing into ANSWER, LEAF should only be selected in LEAF scenarios</t>
  </si>
  <si>
    <t>Oya_Energy_Hybrid_Facility</t>
  </si>
  <si>
    <t>ACWA_Power_Project_DAO</t>
  </si>
  <si>
    <t>Umoyilanga_Energy</t>
  </si>
  <si>
    <t>Karpowership_SA_Coega</t>
  </si>
  <si>
    <t>Karpowership_SA_Richards_Bay</t>
  </si>
  <si>
    <t>Karpowership_SA_Saldanha</t>
  </si>
  <si>
    <t>Mulilo_Total_Coega</t>
  </si>
  <si>
    <t>Mulilo_Total_Hydra_Storage</t>
  </si>
  <si>
    <t>Project Name</t>
  </si>
  <si>
    <t>Price R/MWh</t>
  </si>
  <si>
    <t>Capacity (MW)</t>
  </si>
  <si>
    <t>Assumed Tech split</t>
  </si>
  <si>
    <t>Solar</t>
  </si>
  <si>
    <t>Storage</t>
  </si>
  <si>
    <t>Assumed CF</t>
  </si>
  <si>
    <t>Overall CF</t>
  </si>
  <si>
    <t>Share of energy</t>
  </si>
  <si>
    <t>Energy (GWh)</t>
  </si>
  <si>
    <t>Storage Losses</t>
  </si>
  <si>
    <t>https://www.ipp-rm.co.za/</t>
  </si>
  <si>
    <t>https://www.researchgate.net/publication/350373236_Power_sector_statistics_and_the_changing_energy_mix</t>
  </si>
  <si>
    <t>Total Firm</t>
  </si>
  <si>
    <t>RMIPPPP</t>
  </si>
  <si>
    <t>TCH_PWR_RMIP</t>
  </si>
  <si>
    <t>Battery Costs</t>
  </si>
  <si>
    <t>For  15-year life (values in 2018$):</t>
  </si>
  <si>
    <t>CAPEX ($/kW)</t>
  </si>
  <si>
    <t>4Hr Battery Storage - Advanced</t>
  </si>
  <si>
    <t>4Hr Battery Storage - Moderate</t>
  </si>
  <si>
    <t>4Hr Battery Storage - Conservative</t>
  </si>
  <si>
    <t>2Hr Battery Storage - Advanced</t>
  </si>
  <si>
    <t>2Hr Battery Storage - Moderate</t>
  </si>
  <si>
    <t>2Hr Battery Storage - Conservative</t>
  </si>
  <si>
    <t xml:space="preserve">Reference: Battery Storage cost values from W. Cole and A. W. Frazier, “Cost Projections for Utility-scale Battery Storage: 2020 Update,” NREL/TP-6A20-75385. Golden, CO: National Renewable Energy Laboratory. https://www.nrel.gov/docs/fy20osti/75385.pdf.
</t>
  </si>
  <si>
    <t>Include?</t>
  </si>
  <si>
    <t>Y</t>
  </si>
  <si>
    <t>TCH_PWR_IRPL</t>
  </si>
  <si>
    <t>Only RE parts of IRP-Mod</t>
  </si>
  <si>
    <t>RE program similar to IRP-Mod but extends beyond 2031</t>
  </si>
  <si>
    <t>Moderate RE program</t>
  </si>
  <si>
    <t>IRP with slight modifications on start dates, optionally includes RMIPPPP</t>
  </si>
  <si>
    <t>LCOE check</t>
  </si>
  <si>
    <t>Investment Cost</t>
  </si>
  <si>
    <t>Fuel Price</t>
  </si>
  <si>
    <t>Capfac</t>
  </si>
  <si>
    <t>LCOE</t>
  </si>
  <si>
    <t>2015R/kWh</t>
  </si>
  <si>
    <t>drate</t>
  </si>
  <si>
    <t>2020R/kWh</t>
  </si>
  <si>
    <t>2015R/kW</t>
  </si>
  <si>
    <t>m kWh</t>
  </si>
  <si>
    <t>R/kwh</t>
  </si>
  <si>
    <t>https://www.cobenefits.info/wp-content/uploads/2019/10/COBENEFITS-Study-South-Africa-Health.pdf</t>
  </si>
  <si>
    <t>CoBenefits High</t>
  </si>
  <si>
    <t>Hydrogen Turbine or FuelCell</t>
  </si>
  <si>
    <t>Fuel Cell Parameters</t>
  </si>
  <si>
    <t>CAPEX</t>
  </si>
  <si>
    <t>https://publications.jrc.ec.europa.eu/repository/handle/JRC115923</t>
  </si>
  <si>
    <t>2019Euro/kW</t>
  </si>
  <si>
    <t>2019$/kW</t>
  </si>
  <si>
    <t>Euro/kWh</t>
  </si>
  <si>
    <t>$/kWh</t>
  </si>
  <si>
    <t>bR</t>
  </si>
  <si>
    <t>None</t>
  </si>
  <si>
    <t>Set to None, when working only with Sent Out Demand</t>
  </si>
  <si>
    <t>https://www.ee.co.za/article/the-contribution-of-pumped-storage-schemes-to-energy-generation-in-south-africa.html</t>
  </si>
  <si>
    <t>Tubatse</t>
  </si>
  <si>
    <t>Kobong</t>
  </si>
  <si>
    <t>Max flow (turbine)</t>
  </si>
  <si>
    <t>m3/sec</t>
  </si>
  <si>
    <t>Max flow (pumping)</t>
  </si>
  <si>
    <t>Time to fill</t>
  </si>
  <si>
    <t>hours</t>
  </si>
  <si>
    <t>Storage Volume</t>
  </si>
  <si>
    <t>mm3</t>
  </si>
  <si>
    <t>Time to empty</t>
  </si>
  <si>
    <t>Storage Energy</t>
  </si>
  <si>
    <t>Cycle Efficiency</t>
  </si>
  <si>
    <t xml:space="preserve">Cost </t>
  </si>
  <si>
    <t>The data given in the article does not square exactly, so some arbitrary adjustments were made, which could be reviewed and checked against other data sources.</t>
  </si>
  <si>
    <t>It's not clear in the table on flows, it looks like in for some plants it's combined and other it's per turbine.</t>
  </si>
  <si>
    <t>Updated data, 29 June 2022</t>
  </si>
  <si>
    <t>100MW</t>
  </si>
  <si>
    <t>entered full operation late 2015, model as 1 Jan 2016</t>
  </si>
  <si>
    <t>Technology</t>
  </si>
  <si>
    <t xml:space="preserve">Biomass_x000D_
</t>
  </si>
  <si>
    <t xml:space="preserve">Concentrated Solar Power with Storage (Min. 3 hours per Day)_x000D_
</t>
  </si>
  <si>
    <t xml:space="preserve">Landfill Gas_x000D_
</t>
  </si>
  <si>
    <t xml:space="preserve">Onshore Wind_x000D_
</t>
  </si>
  <si>
    <t xml:space="preserve">Photovoltaic Crystalline Fixed_x000D_
</t>
  </si>
  <si>
    <t xml:space="preserve">Photovoltaic Crystalline Tracking Single Axis_x000D_
</t>
  </si>
  <si>
    <t xml:space="preserve">Photovoltaic Thin Film Fixed_x000D_
</t>
  </si>
  <si>
    <t xml:space="preserve">Small Hydro_x000D_
</t>
  </si>
  <si>
    <t>Q1</t>
  </si>
  <si>
    <t>January</t>
  </si>
  <si>
    <t>downloaded from REDIS, 29 June 2022 from http://redis.energy.gov.za/power-production/ - filtered on January- this is therefore the caapcity at the BEGINNING of the year, i.e. wil operate for a full year</t>
  </si>
  <si>
    <t>2022 to date (feb)</t>
  </si>
  <si>
    <t>Time series for SATIM - new capacity</t>
  </si>
  <si>
    <t>NOTE - this table has been corrected for January capacity from the chart on the www, pic below. There is an inconsistency between the tableau file (dowloaded), the online table and the chart. The chart has been used as the authoritative source</t>
  </si>
  <si>
    <t>TOTAL PV TRACKING</t>
  </si>
  <si>
    <t>TOTAL PV NON TRACKING</t>
  </si>
  <si>
    <t>TOTAL PV</t>
  </si>
  <si>
    <t xml:space="preserve">Photovoltaic Crystalline Tracking Dual Axis
</t>
  </si>
  <si>
    <t>solar thermal</t>
  </si>
  <si>
    <t>SEE ROWS 136 on for links to wind, PV etc</t>
  </si>
  <si>
    <t>Concentrated Solar Power with storage (min 3 hrs per day)</t>
  </si>
  <si>
    <t>Photovoltaic Crystalline- Single Axis</t>
  </si>
  <si>
    <t>Sum of Capacity (MW)</t>
  </si>
  <si>
    <t>Column Labels</t>
  </si>
  <si>
    <t>Row Labels</t>
  </si>
  <si>
    <t>Bid Window 3.5</t>
  </si>
  <si>
    <t>Bid Window 4</t>
  </si>
  <si>
    <t>Grand Total</t>
  </si>
  <si>
    <t>from REIPPPP database - not yet operational projects from rounds 1-4 as of June 2022</t>
  </si>
  <si>
    <t>Bid Window 1</t>
  </si>
  <si>
    <t>Bid Window 2</t>
  </si>
  <si>
    <t>Bid Window 3</t>
  </si>
  <si>
    <t>Photovoltaic Crystalline Fixed</t>
  </si>
  <si>
    <t>Photovoltaic Crystalline- Dual Axis</t>
  </si>
  <si>
    <t>Photovoltaic Thin Film Fixed</t>
  </si>
  <si>
    <t>from REIPPPP database - operational projects from rounds 1-4 as of June 2022</t>
  </si>
  <si>
    <t>totals</t>
  </si>
  <si>
    <t>REIPP database operational:</t>
  </si>
  <si>
    <t>REIPPPP database not yet operational:</t>
  </si>
  <si>
    <t>remainder</t>
  </si>
  <si>
    <t>SATIM 2022 fixed cap add</t>
  </si>
  <si>
    <t>IRP 2019 committed capacity</t>
  </si>
  <si>
    <t>total in reippp database</t>
  </si>
  <si>
    <t>connected as of 1 jan 2022</t>
  </si>
  <si>
    <t>assumed for 2023</t>
  </si>
  <si>
    <t>TCH_PWR_IRPM</t>
  </si>
  <si>
    <t>Schedule sourced from Mandy Rambharos, Eskom, July 2022 - has Tutuka retiring in 2030</t>
  </si>
  <si>
    <t>tui</t>
  </si>
  <si>
    <t>tuh</t>
  </si>
  <si>
    <t>elec</t>
  </si>
  <si>
    <t>coal-cl</t>
  </si>
  <si>
    <t>coal-ch</t>
  </si>
  <si>
    <t>aawhe</t>
  </si>
  <si>
    <t>aamai</t>
  </si>
  <si>
    <t>aaoce</t>
  </si>
  <si>
    <t>aaveg</t>
  </si>
  <si>
    <t>aaofr</t>
  </si>
  <si>
    <t>aagra</t>
  </si>
  <si>
    <t>aaoil</t>
  </si>
  <si>
    <t>aatub</t>
  </si>
  <si>
    <t>aapul</t>
  </si>
  <si>
    <t>aasug</t>
  </si>
  <si>
    <t>aaoth</t>
  </si>
  <si>
    <t>alani</t>
  </si>
  <si>
    <t>apgm</t>
  </si>
  <si>
    <t>ameat</t>
  </si>
  <si>
    <t>apfis</t>
  </si>
  <si>
    <t>avege</t>
  </si>
  <si>
    <t>afats</t>
  </si>
  <si>
    <t>adair</t>
  </si>
  <si>
    <t>agrai</t>
  </si>
  <si>
    <t>astar</t>
  </si>
  <si>
    <t>afeed</t>
  </si>
  <si>
    <t>abake</t>
  </si>
  <si>
    <t>asuga</t>
  </si>
  <si>
    <t>aconf</t>
  </si>
  <si>
    <t>apast</t>
  </si>
  <si>
    <t>aofoo</t>
  </si>
  <si>
    <t>aammo</t>
  </si>
  <si>
    <t>afcel</t>
  </si>
  <si>
    <t>aelct</t>
  </si>
  <si>
    <t>aotrp-p</t>
  </si>
  <si>
    <t>aotrp-f</t>
  </si>
  <si>
    <t>aprtr</t>
  </si>
  <si>
    <t>cawhe</t>
  </si>
  <si>
    <t>camai</t>
  </si>
  <si>
    <t>caoce</t>
  </si>
  <si>
    <t>caveg</t>
  </si>
  <si>
    <t>caofr</t>
  </si>
  <si>
    <t>cagra</t>
  </si>
  <si>
    <t>caoil</t>
  </si>
  <si>
    <t>catub</t>
  </si>
  <si>
    <t>capul</t>
  </si>
  <si>
    <t>casug</t>
  </si>
  <si>
    <t>caoth</t>
  </si>
  <si>
    <t>clani</t>
  </si>
  <si>
    <t>cpgm</t>
  </si>
  <si>
    <t>cmeat</t>
  </si>
  <si>
    <t>cpfis</t>
  </si>
  <si>
    <t>cvege</t>
  </si>
  <si>
    <t>cfats</t>
  </si>
  <si>
    <t>cdair</t>
  </si>
  <si>
    <t>cgrai</t>
  </si>
  <si>
    <t>cstar</t>
  </si>
  <si>
    <t>cafee</t>
  </si>
  <si>
    <t>cbake</t>
  </si>
  <si>
    <t>csuga</t>
  </si>
  <si>
    <t>cconf</t>
  </si>
  <si>
    <t>cpast</t>
  </si>
  <si>
    <t>cofoo</t>
  </si>
  <si>
    <t>cpetr-p</t>
  </si>
  <si>
    <t>cpetr-d</t>
  </si>
  <si>
    <t>cpetr-h</t>
  </si>
  <si>
    <t>cpetr-k</t>
  </si>
  <si>
    <t>cpetr-l</t>
  </si>
  <si>
    <t>cammo</t>
  </si>
  <si>
    <t>cfcel</t>
  </si>
  <si>
    <t>celct</t>
  </si>
  <si>
    <t>cprtr</t>
  </si>
  <si>
    <t>fland</t>
  </si>
  <si>
    <t>hhd-9</t>
  </si>
  <si>
    <t>2019 SAM</t>
  </si>
  <si>
    <t>Electricity supply</t>
  </si>
  <si>
    <t>Eskom coal fleet</t>
  </si>
  <si>
    <t>Eskom existing coal fleet</t>
  </si>
  <si>
    <t>Eskom Medupi and Kusile</t>
  </si>
  <si>
    <t>Start year</t>
  </si>
  <si>
    <t>Decommissioning date</t>
  </si>
  <si>
    <t>Current capacity</t>
  </si>
  <si>
    <t>Indicator definitiions</t>
  </si>
  <si>
    <t>RE investment plan</t>
  </si>
  <si>
    <t>3 variants</t>
  </si>
  <si>
    <t>JETP1-3</t>
  </si>
  <si>
    <t>sc 1</t>
  </si>
  <si>
    <t>New wind</t>
  </si>
  <si>
    <t>New utility PV</t>
  </si>
  <si>
    <t>New dist PV</t>
  </si>
  <si>
    <t>batteries</t>
  </si>
  <si>
    <t>sc 2</t>
  </si>
  <si>
    <t>sc 3</t>
  </si>
  <si>
    <t>all capacity in GW, and these are lower bounds</t>
  </si>
  <si>
    <t>Additional RMIPPPP</t>
  </si>
  <si>
    <t>financial close by August 2022, online by 2024</t>
  </si>
  <si>
    <t>MW solar</t>
  </si>
  <si>
    <t>MWH</t>
  </si>
  <si>
    <t>Check on capacity:</t>
  </si>
  <si>
    <t>gen2012 on</t>
  </si>
  <si>
    <t>jetp1</t>
  </si>
  <si>
    <t>total capacity:</t>
  </si>
  <si>
    <t>PV ficed</t>
  </si>
  <si>
    <t>PV tracking</t>
  </si>
  <si>
    <t>Batteries</t>
  </si>
  <si>
    <t>round 1</t>
  </si>
  <si>
    <t>additional</t>
  </si>
  <si>
    <t>ProcDataJETP1</t>
  </si>
  <si>
    <t>ProcDataJETP2</t>
  </si>
  <si>
    <t>ProcDataJETP3</t>
  </si>
  <si>
    <t>Power Sector Carbon Dioxide South Africa</t>
  </si>
  <si>
    <t>Power Sector Methane South Africa</t>
  </si>
  <si>
    <t>Power Sector Nitrous Oxide Emissions</t>
  </si>
  <si>
    <t>Electricity</t>
  </si>
  <si>
    <t>Power Sector CMOX South Africa</t>
  </si>
  <si>
    <t>Power Sector NMVS Emissions</t>
  </si>
  <si>
    <t>ICPELC</t>
  </si>
  <si>
    <t>Chemicals Electricity</t>
  </si>
  <si>
    <t>UPSELC</t>
  </si>
  <si>
    <t>Supply Electricity</t>
  </si>
  <si>
    <t>Power Sector Diesel</t>
  </si>
  <si>
    <t>Hydro Resource</t>
  </si>
  <si>
    <t>Nuclear Fuel</t>
  </si>
  <si>
    <t>Power Sector Load Grade Coal</t>
  </si>
  <si>
    <t>Power Sector Discard Coal</t>
  </si>
  <si>
    <t>Solar Resource</t>
  </si>
  <si>
    <t>Wind Resource</t>
  </si>
  <si>
    <t>Supply Sector Load Grade Coal</t>
  </si>
  <si>
    <t>Industry Sector Load Grade Coal</t>
  </si>
  <si>
    <t>Power Sector Coastal Gas</t>
  </si>
  <si>
    <t>Power Sector Hydrogen</t>
  </si>
  <si>
    <t>Biomass Fuel</t>
  </si>
  <si>
    <t>Bagasse Fuel</t>
  </si>
  <si>
    <t>Residential Electricity</t>
  </si>
  <si>
    <t>Commerce Electricity</t>
  </si>
  <si>
    <t>Power Sector Inland Gas</t>
  </si>
  <si>
    <t>Fugitive Emissions CO2</t>
  </si>
  <si>
    <t>Fugitive Emissions CH4</t>
  </si>
  <si>
    <t>Electricity Demand</t>
  </si>
  <si>
    <t>ELCD</t>
  </si>
  <si>
    <t>Electricity to be Distributed</t>
  </si>
  <si>
    <t>ELCDEM</t>
  </si>
  <si>
    <t>XPWRODS</t>
  </si>
  <si>
    <t>Power Oil Diesel</t>
  </si>
  <si>
    <t>XPWRGIC</t>
  </si>
  <si>
    <t>Power Natural Gas Coastal</t>
  </si>
  <si>
    <t>XPWRCLE</t>
  </si>
  <si>
    <t>Power Coal Low Grade</t>
  </si>
  <si>
    <t>Power Nuclear Fuel</t>
  </si>
  <si>
    <t>XPWRNUC</t>
  </si>
  <si>
    <t>XPWRSOL</t>
  </si>
  <si>
    <t>XPWRWND</t>
  </si>
  <si>
    <t>XPWRHYD</t>
  </si>
  <si>
    <t>Power Solar Energy</t>
  </si>
  <si>
    <t>Power Wind Energy</t>
  </si>
  <si>
    <t>Power Hydro Energy</t>
  </si>
  <si>
    <t>Sets</t>
  </si>
  <si>
    <t>TechName</t>
  </si>
  <si>
    <t>TechDesc</t>
  </si>
  <si>
    <t>Tact</t>
  </si>
  <si>
    <t>Tcap</t>
  </si>
  <si>
    <t>Tslvl</t>
  </si>
  <si>
    <t>Vintage</t>
  </si>
  <si>
    <t>NO</t>
  </si>
  <si>
    <t>PRE,STGTSS</t>
  </si>
  <si>
    <t>XTRACT,PRE</t>
  </si>
  <si>
    <t>ELE</t>
  </si>
  <si>
    <t>Comm-IN</t>
  </si>
  <si>
    <t>Comm-OUT</t>
  </si>
  <si>
    <t>*TechDesc</t>
  </si>
  <si>
    <t>~FI_Process</t>
  </si>
  <si>
    <t>~FI_Comm</t>
  </si>
  <si>
    <t>Csets</t>
  </si>
  <si>
    <t>CEFF-I</t>
  </si>
  <si>
    <t>*Activity I/O</t>
  </si>
  <si>
    <t>Commgrp</t>
  </si>
  <si>
    <t>Comm-IN-A</t>
  </si>
  <si>
    <t>Attribute</t>
  </si>
  <si>
    <t>*Unit</t>
  </si>
  <si>
    <t>CTSLvl</t>
  </si>
  <si>
    <t>PeakTS</t>
  </si>
  <si>
    <t>Ctype</t>
  </si>
  <si>
    <t>Source: Shared on Whatsapp group (Jesse) April 2023</t>
  </si>
  <si>
    <t>Imports from Region</t>
  </si>
  <si>
    <t>* Demand Response</t>
  </si>
  <si>
    <t>Interruptible Supply</t>
  </si>
  <si>
    <t>Manual Load Reduction (load shedding)</t>
  </si>
  <si>
    <t>EDILS</t>
  </si>
  <si>
    <t>EDMLR</t>
  </si>
  <si>
    <t>PRE</t>
  </si>
  <si>
    <t>PJa</t>
  </si>
  <si>
    <t>ENV_ACT~PWRENV</t>
  </si>
  <si>
    <t>NCAP_COST~2021</t>
  </si>
  <si>
    <t>Losses</t>
  </si>
  <si>
    <t>ACT_BND~UP</t>
  </si>
  <si>
    <t>SEASON</t>
  </si>
  <si>
    <t/>
  </si>
  <si>
    <t>~FI_T</t>
  </si>
  <si>
    <t>AGRELC</t>
  </si>
  <si>
    <t>TRAELC</t>
  </si>
  <si>
    <t>IFAELC</t>
  </si>
  <si>
    <t>IFBELC</t>
  </si>
  <si>
    <t>IISELC</t>
  </si>
  <si>
    <t>IISHHELC</t>
  </si>
  <si>
    <t>IMIELC</t>
  </si>
  <si>
    <t>INFELC</t>
  </si>
  <si>
    <t>INMELC</t>
  </si>
  <si>
    <t>IOTELC</t>
  </si>
  <si>
    <t>IPPELC</t>
  </si>
  <si>
    <t>Agriculture Electricity</t>
  </si>
  <si>
    <t>Transport Electricity</t>
  </si>
  <si>
    <t>Industry-FA-Electricity</t>
  </si>
  <si>
    <t>Industry-FB-Electricity</t>
  </si>
  <si>
    <t>Industry-IS-Electricity</t>
  </si>
  <si>
    <t>Industry-IS-Electricity for HDRI</t>
  </si>
  <si>
    <t>Industry-MI-Electricity</t>
  </si>
  <si>
    <t>Industry-NF-Electricity</t>
  </si>
  <si>
    <t>Industry-NM-Electricity</t>
  </si>
  <si>
    <t>Industry-OT-Electricity</t>
  </si>
  <si>
    <t>Industry-PP-Electricity</t>
  </si>
  <si>
    <t>ENV_ACT~CH4SF</t>
  </si>
  <si>
    <t>ENV_ACT~CO2SF</t>
  </si>
  <si>
    <t>N2OS</t>
  </si>
  <si>
    <t>SOXS</t>
  </si>
  <si>
    <t>NOXS</t>
  </si>
  <si>
    <t>CMOX</t>
  </si>
  <si>
    <t>NMVS</t>
  </si>
  <si>
    <t>PM10S</t>
  </si>
  <si>
    <t>CO2C</t>
  </si>
  <si>
    <t>CH4C</t>
  </si>
  <si>
    <t>2019 Rands from SAM</t>
  </si>
  <si>
    <t>2022 Rands</t>
  </si>
  <si>
    <t>Other Operating Costs (2019 Rands)</t>
  </si>
  <si>
    <t>Nothing</t>
  </si>
  <si>
    <t>2022 R/kW</t>
  </si>
  <si>
    <t>IRP 2019 Costs (2017 Rands)</t>
  </si>
  <si>
    <t>2017-&gt;2022</t>
  </si>
  <si>
    <t>2020-&gt;2022 Rands</t>
  </si>
  <si>
    <t>Conversion from $2021 to 2022 Rands</t>
  </si>
  <si>
    <t>Advanced</t>
  </si>
  <si>
    <t>Moderate</t>
  </si>
  <si>
    <t>Conservative</t>
  </si>
  <si>
    <t>https://atb.nrel.gov/electricity/2023/data</t>
  </si>
  <si>
    <t>* NREL 2023-H</t>
  </si>
  <si>
    <t>* NREL 2023-M</t>
  </si>
  <si>
    <t>* NREL 2023-L</t>
  </si>
  <si>
    <t>Generic PV System (utility)</t>
  </si>
  <si>
    <t>IRENA CMP (2019 USD)</t>
  </si>
  <si>
    <t>2019$-&gt;2022ZAR</t>
  </si>
  <si>
    <t>* LCOE Check (2022 R/kWh)</t>
  </si>
  <si>
    <t>For SATIM (2022 ZAR/kW)</t>
  </si>
  <si>
    <t>NCAP_BND~UP~0</t>
  </si>
  <si>
    <t>nothing</t>
  </si>
  <si>
    <t>NCAP_AF~UP</t>
  </si>
  <si>
    <t>2019-&gt;2022</t>
  </si>
  <si>
    <t>2022 R/GJ</t>
  </si>
  <si>
    <t>Updated 2022 R/GJ</t>
  </si>
  <si>
    <t>2022R/kW</t>
  </si>
  <si>
    <t>ERSOLPRA-N</t>
  </si>
  <si>
    <t>Solar PV rooftop Agriculture</t>
  </si>
  <si>
    <t>ERSOLPRM-N</t>
  </si>
  <si>
    <t>Solar PV rooftop Mining</t>
  </si>
  <si>
    <t>Assumed Distributed PV Annual Installations</t>
  </si>
  <si>
    <t>Index</t>
  </si>
  <si>
    <t>Source: SAPVIA 2022?</t>
  </si>
  <si>
    <t>Reference</t>
  </si>
  <si>
    <t>https://greencape.co.za/wp-content/uploads/2023/04/ES_MIR_2023_DIGITAL_SINGLES.pdf</t>
  </si>
  <si>
    <t>Selected Scenario</t>
  </si>
  <si>
    <t>https://www.sagen.org.za/publications/all-publications/112-status-of-small-scale-embedded-generation-in-south-african-municipalities/file</t>
  </si>
  <si>
    <t>Manufacturing</t>
  </si>
  <si>
    <t>We could add spatial disagregation at a later stage</t>
  </si>
  <si>
    <t>https://www.eskom.co.za/wp-content/uploads/2023/07/Weekly_System_Status_Report_2023_w28.pdf</t>
  </si>
  <si>
    <t>Check Residential</t>
  </si>
  <si>
    <t>Unit Size (MW)</t>
  </si>
  <si>
    <t>Number of households</t>
  </si>
  <si>
    <t>New Dist.PV Cap Scenarios</t>
  </si>
  <si>
    <t>Dist. PV Excluded</t>
  </si>
  <si>
    <t>Ref PV</t>
  </si>
  <si>
    <t>Low PV</t>
  </si>
  <si>
    <t>High PV</t>
  </si>
  <si>
    <t>https://www.sapvia.org.za/nersa-registered-plants-dashboard/</t>
  </si>
  <si>
    <t>EFF</t>
  </si>
  <si>
    <t>Table Name:</t>
  </si>
  <si>
    <t>Unsaved_14253</t>
  </si>
  <si>
    <t>Studyname</t>
  </si>
  <si>
    <t>Userconstraint</t>
  </si>
  <si>
    <t>Commodity</t>
  </si>
  <si>
    <t>Scenario</t>
  </si>
  <si>
    <t>NZ2023</t>
  </si>
  <si>
    <t>VAR_Cap</t>
  </si>
  <si>
    <t>cumultest</t>
  </si>
  <si>
    <t>CAP_2017</t>
  </si>
  <si>
    <t>GOS (2019 Rands)</t>
  </si>
  <si>
    <t>GOS (2022 Rands)</t>
  </si>
  <si>
    <t>1.153 (conversion from 2019-&gt;2022)</t>
  </si>
  <si>
    <t>PRC_RESID~2070</t>
  </si>
  <si>
    <t>2022 mR/GWh</t>
  </si>
  <si>
    <t>Commodity Name</t>
  </si>
  <si>
    <t>Overhead</t>
  </si>
  <si>
    <t>Total 000 km</t>
  </si>
  <si>
    <t>underground</t>
  </si>
  <si>
    <t>MTSAO 2023 (2024 - 2028)</t>
  </si>
  <si>
    <t>Historic</t>
  </si>
  <si>
    <t>Correction factors</t>
  </si>
  <si>
    <t>Correction Factor Applied for:</t>
  </si>
  <si>
    <t>Used in Model - MTSAO 2023</t>
  </si>
  <si>
    <t>High EAF</t>
  </si>
  <si>
    <t>NCAP_PASTI</t>
  </si>
  <si>
    <t>Capcity in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</si>
</sst>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6">
    <numFmt numFmtId="43" formatCode="_-* #,##0.00_-;\-* #,##0.00_-;_-* &quot;-&quot;??_-;_-@_-"/>
    <numFmt numFmtId="164" formatCode="_(* #,##0.00_);_(* \(#,##0.00\);_(* &quot;-&quot;??_);_(@_)"/>
    <numFmt numFmtId="165" formatCode="0.0"/>
    <numFmt numFmtId="166" formatCode="0.000"/>
    <numFmt numFmtId="167" formatCode="0.0000"/>
    <numFmt numFmtId="168" formatCode="_-* #,##0.0000_-;\-* #,##0.0000_-;_-* &quot;-&quot;??_-;_-@_-"/>
    <numFmt numFmtId="169" formatCode="_(* #,##0_);_(* \(#,##0\);_(* &quot;-&quot;??_);_(@_)"/>
    <numFmt numFmtId="170" formatCode="_-* #,##0_-;\-* #,##0_-;_-* &quot;-&quot;??_-;_-@_-"/>
    <numFmt numFmtId="171" formatCode="0.0%"/>
    <numFmt numFmtId="172" formatCode="[$£-809]#,##0.000;[Red]&quot;-&quot;[$£-809]#,##0.000"/>
    <numFmt numFmtId="173" formatCode="yyyy/mm/dd;@"/>
    <numFmt numFmtId="174" formatCode="0##########"/>
    <numFmt numFmtId="175" formatCode="0.000000"/>
    <numFmt numFmtId="176" formatCode="&quot;R&quot;#,##0.00000;[Red]\-&quot;R&quot;#,##0.00000"/>
    <numFmt numFmtId="177" formatCode="#,##0.0000"/>
    <numFmt numFmtId="178" formatCode="0.00000"/>
    <numFmt numFmtId="179" formatCode="&quot;$&quot;#,##0_);\(&quot;$&quot;#,##0\)"/>
    <numFmt numFmtId="180" formatCode="#,##0.0"/>
    <numFmt numFmtId="181" formatCode="_-* #,##0.000_-;\-* #,##0.000_-;_-* &quot;-&quot;??_-;_-@_-"/>
    <numFmt numFmtId="182" formatCode="#,##0.000"/>
    <numFmt numFmtId="183" formatCode="_(* #,##0.0000000000_);_(* \(#,##0.0000000000\);_(* &quot;-&quot;??_);_(@_)"/>
    <numFmt numFmtId="184" formatCode="0.000%"/>
    <numFmt numFmtId="185" formatCode="_(* #,##0.000000_);_(* \(#,##0.000000\);_(* &quot;-&quot;??_);_(@_)"/>
    <numFmt numFmtId="186" formatCode="_(* #,##0.00000_);_(* \(#,##0.00000\);_(* &quot;-&quot;??_);_(@_)"/>
    <numFmt numFmtId="187" formatCode="\Te\x\t"/>
    <numFmt numFmtId="188" formatCode="&quot;$&quot;#,##0"/>
  </numFmts>
  <fonts count="11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8"/>
      <color indexed="20"/>
      <name val="Arial"/>
      <family val="2"/>
    </font>
    <font>
      <b/>
      <sz val="8"/>
      <name val="Arial"/>
      <family val="2"/>
    </font>
    <font>
      <sz val="8"/>
      <name val="Arial"/>
      <family val="2"/>
    </font>
    <font>
      <b/>
      <sz val="8"/>
      <color indexed="8"/>
      <name val="Arial"/>
      <family val="2"/>
    </font>
    <font>
      <sz val="8"/>
      <name val="Arial"/>
      <family val="2"/>
    </font>
    <font>
      <sz val="10"/>
      <name val="Arial"/>
      <family val="2"/>
    </font>
    <font>
      <b/>
      <sz val="10"/>
      <color rgb="FF800080"/>
      <name val="Arial"/>
      <family val="2"/>
    </font>
    <font>
      <sz val="8"/>
      <color indexed="81"/>
      <name val="Tahoma"/>
      <family val="2"/>
    </font>
    <font>
      <sz val="8"/>
      <color indexed="8"/>
      <name val="Arial"/>
      <family val="2"/>
    </font>
    <font>
      <sz val="8"/>
      <color indexed="12"/>
      <name val="Arial"/>
      <family val="2"/>
    </font>
    <font>
      <b/>
      <sz val="8"/>
      <color rgb="FF800080"/>
      <name val="Arial"/>
      <family val="2"/>
    </font>
    <font>
      <sz val="8"/>
      <color rgb="FF800080"/>
      <name val="Arial"/>
      <family val="2"/>
    </font>
    <font>
      <sz val="8"/>
      <color rgb="FF000000"/>
      <name val="Arial"/>
      <family val="2"/>
    </font>
    <font>
      <b/>
      <sz val="8"/>
      <color indexed="81"/>
      <name val="Tahoma"/>
      <family val="2"/>
    </font>
    <font>
      <b/>
      <sz val="11"/>
      <color theme="1"/>
      <name val="Calibri"/>
      <family val="2"/>
      <scheme val="minor"/>
    </font>
    <font>
      <b/>
      <sz val="9"/>
      <color indexed="20"/>
      <name val="Arial"/>
      <family val="2"/>
    </font>
    <font>
      <sz val="8"/>
      <color rgb="FFFF0000"/>
      <name val="Arial"/>
      <family val="2"/>
    </font>
    <font>
      <sz val="10"/>
      <color rgb="FF800080"/>
      <name val="Arial"/>
      <family val="2"/>
    </font>
    <font>
      <b/>
      <sz val="9"/>
      <color rgb="FF800080"/>
      <name val="Arial"/>
      <family val="2"/>
    </font>
    <font>
      <u/>
      <sz val="10"/>
      <color indexed="12"/>
      <name val="Arial"/>
      <family val="2"/>
    </font>
    <font>
      <b/>
      <sz val="11"/>
      <color rgb="FFFA7D00"/>
      <name val="Calibri"/>
      <family val="2"/>
      <scheme val="minor"/>
    </font>
    <font>
      <sz val="11"/>
      <color theme="1"/>
      <name val="Arial"/>
      <family val="2"/>
    </font>
    <font>
      <i/>
      <sz val="11"/>
      <color theme="1"/>
      <name val="Calibri"/>
      <family val="2"/>
      <scheme val="minor"/>
    </font>
    <font>
      <sz val="11"/>
      <color rgb="FF9C0006"/>
      <name val="Calibri"/>
      <family val="2"/>
      <scheme val="minor"/>
    </font>
    <font>
      <sz val="10"/>
      <name val="Calibri"/>
      <family val="2"/>
    </font>
    <font>
      <u/>
      <sz val="10"/>
      <color theme="10"/>
      <name val="Arial"/>
      <family val="2"/>
    </font>
    <font>
      <sz val="11"/>
      <color rgb="FF3F3F76"/>
      <name val="Calibri"/>
      <family val="2"/>
      <scheme val="minor"/>
    </font>
    <font>
      <sz val="11"/>
      <color rgb="FF006100"/>
      <name val="Calibri"/>
      <family val="2"/>
      <scheme val="minor"/>
    </font>
    <font>
      <sz val="11"/>
      <color rgb="FF9C5700"/>
      <name val="Calibri"/>
      <family val="2"/>
      <scheme val="minor"/>
    </font>
    <font>
      <sz val="9"/>
      <color indexed="81"/>
      <name val="Tahoma"/>
      <family val="2"/>
    </font>
    <font>
      <b/>
      <sz val="9"/>
      <color indexed="81"/>
      <name val="Tahoma"/>
      <family val="2"/>
    </font>
    <font>
      <sz val="12"/>
      <color theme="1"/>
      <name val="Calibri"/>
      <family val="2"/>
      <scheme val="minor"/>
    </font>
    <font>
      <b/>
      <sz val="12"/>
      <color theme="1"/>
      <name val="Calibri"/>
      <family val="2"/>
      <scheme val="minor"/>
    </font>
    <font>
      <sz val="12"/>
      <color rgb="FF000000"/>
      <name val="Calibri"/>
      <family val="2"/>
      <scheme val="minor"/>
    </font>
    <font>
      <b/>
      <sz val="12"/>
      <color rgb="FF000000"/>
      <name val="Calibri"/>
      <family val="2"/>
      <scheme val="minor"/>
    </font>
    <font>
      <sz val="10"/>
      <color rgb="FF000000"/>
      <name val="Times New Roman"/>
      <family val="1"/>
    </font>
    <font>
      <b/>
      <u/>
      <sz val="8"/>
      <name val="Arial"/>
      <family val="2"/>
    </font>
    <font>
      <b/>
      <sz val="11"/>
      <name val="Arial"/>
      <family val="2"/>
    </font>
    <font>
      <b/>
      <sz val="11"/>
      <color rgb="FF008000"/>
      <name val="Arial"/>
      <family val="2"/>
    </font>
    <font>
      <sz val="12"/>
      <name val="Times New Roman"/>
      <family val="1"/>
    </font>
    <font>
      <sz val="7"/>
      <color theme="0" tint="-0.34998626667073579"/>
      <name val="Calibri"/>
      <family val="2"/>
    </font>
    <font>
      <sz val="7"/>
      <name val="Arial"/>
      <family val="2"/>
    </font>
    <font>
      <sz val="7"/>
      <color rgb="FF000000"/>
      <name val="Arial"/>
      <family val="2"/>
    </font>
    <font>
      <sz val="10"/>
      <color rgb="FFFF0000"/>
      <name val="Calibri"/>
      <family val="2"/>
    </font>
    <font>
      <b/>
      <sz val="7"/>
      <name val="Arial"/>
      <family val="2"/>
    </font>
    <font>
      <b/>
      <sz val="9"/>
      <name val="Calibri"/>
      <family val="2"/>
    </font>
    <font>
      <sz val="7"/>
      <name val="Calibri"/>
      <family val="2"/>
    </font>
    <font>
      <sz val="9"/>
      <name val="Arial"/>
      <family val="2"/>
    </font>
    <font>
      <b/>
      <sz val="9"/>
      <name val="Arial"/>
      <family val="2"/>
    </font>
    <font>
      <b/>
      <sz val="9"/>
      <color indexed="8"/>
      <name val="Arial"/>
      <family val="2"/>
    </font>
    <font>
      <sz val="12"/>
      <color theme="1"/>
      <name val="Arial"/>
      <family val="2"/>
    </font>
    <font>
      <sz val="12"/>
      <color theme="1"/>
      <name val="Calibri"/>
      <family val="2"/>
    </font>
    <font>
      <sz val="9"/>
      <color theme="1"/>
      <name val="Arial"/>
      <family val="2"/>
    </font>
    <font>
      <sz val="9"/>
      <color rgb="FF000000"/>
      <name val="Arial"/>
      <family val="2"/>
    </font>
    <font>
      <b/>
      <sz val="9"/>
      <color rgb="FF222B35"/>
      <name val="Arial"/>
      <family val="2"/>
    </font>
    <font>
      <b/>
      <sz val="9"/>
      <color rgb="FF000000"/>
      <name val="Arial"/>
      <family val="2"/>
    </font>
    <font>
      <sz val="8"/>
      <color rgb="FF58595B"/>
      <name val="Arial"/>
      <family val="2"/>
    </font>
    <font>
      <sz val="8"/>
      <color rgb="FFFFFFFF"/>
      <name val="Arial"/>
      <family val="2"/>
    </font>
    <font>
      <b/>
      <sz val="9"/>
      <color theme="1"/>
      <name val="Arial"/>
      <family val="2"/>
    </font>
    <font>
      <sz val="11"/>
      <name val="Calibri"/>
      <family val="2"/>
      <scheme val="minor"/>
    </font>
    <font>
      <sz val="11"/>
      <color indexed="8"/>
      <name val="Calibri"/>
      <family val="2"/>
    </font>
    <font>
      <u/>
      <sz val="11"/>
      <color theme="10"/>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9"/>
      <name val="Times New Roman"/>
      <family val="1"/>
    </font>
    <font>
      <sz val="9"/>
      <color indexed="63"/>
      <name val="Times New Roman"/>
      <family val="1"/>
    </font>
    <font>
      <b/>
      <sz val="13"/>
      <color theme="3"/>
      <name val="Calibri"/>
      <family val="2"/>
      <scheme val="minor"/>
    </font>
    <font>
      <sz val="11"/>
      <color rgb="FFFF0000"/>
      <name val="Calibri"/>
      <family val="2"/>
      <scheme val="minor"/>
    </font>
    <font>
      <sz val="12"/>
      <color rgb="FF222222"/>
      <name val="Source Sans Pro"/>
      <family val="2"/>
    </font>
    <font>
      <sz val="10"/>
      <color rgb="FFFF0000"/>
      <name val="Arial"/>
      <family val="2"/>
    </font>
    <font>
      <b/>
      <sz val="10"/>
      <color rgb="FF000000"/>
      <name val="Times New Roman"/>
      <family val="1"/>
    </font>
    <font>
      <sz val="10"/>
      <name val="Arial"/>
      <family val="2"/>
    </font>
    <font>
      <sz val="11"/>
      <color rgb="FF1B1B1B"/>
      <name val="Source Sans Pro"/>
      <family val="2"/>
    </font>
    <font>
      <sz val="10"/>
      <name val="Arial"/>
      <family val="2"/>
    </font>
    <font>
      <sz val="10"/>
      <color theme="1"/>
      <name val="Arial"/>
      <family val="2"/>
    </font>
    <font>
      <b/>
      <sz val="10"/>
      <color theme="1"/>
      <name val="Arial"/>
      <family val="2"/>
    </font>
    <font>
      <b/>
      <sz val="10"/>
      <color theme="0"/>
      <name val="Arial"/>
      <family val="2"/>
    </font>
    <font>
      <sz val="8"/>
      <name val="Arial"/>
      <family val="2"/>
    </font>
    <font>
      <sz val="12"/>
      <color rgb="FF222222"/>
      <name val="Arial"/>
      <family val="2"/>
    </font>
    <font>
      <sz val="10"/>
      <name val="Arial"/>
      <family val="2"/>
      <charset val="238"/>
    </font>
    <font>
      <sz val="12"/>
      <color rgb="FFFF0000"/>
      <name val="Calibri"/>
      <family val="2"/>
      <scheme val="minor"/>
    </font>
    <font>
      <b/>
      <sz val="14"/>
      <name val="Arial"/>
      <family val="2"/>
    </font>
    <font>
      <sz val="10"/>
      <color rgb="FF000000"/>
      <name val="Tahoma"/>
      <family val="2"/>
    </font>
    <font>
      <b/>
      <sz val="10"/>
      <color rgb="FF000000"/>
      <name val="Tahoma"/>
      <family val="2"/>
    </font>
    <font>
      <sz val="12"/>
      <color rgb="FF000000"/>
      <name val="Calibri"/>
      <family val="2"/>
    </font>
    <font>
      <b/>
      <sz val="14"/>
      <name val="Calibri"/>
      <family val="2"/>
      <scheme val="minor"/>
    </font>
    <font>
      <b/>
      <sz val="10"/>
      <color indexed="12"/>
      <name val="Arial"/>
      <family val="2"/>
    </font>
    <font>
      <sz val="8"/>
      <color theme="1"/>
      <name val="Arial"/>
      <family val="2"/>
    </font>
    <font>
      <sz val="11"/>
      <color theme="0"/>
      <name val="Calibri"/>
      <family val="2"/>
      <scheme val="minor"/>
    </font>
    <font>
      <sz val="10"/>
      <name val="Courier"/>
      <family val="3"/>
    </font>
    <font>
      <sz val="11"/>
      <color rgb="FF9C6500"/>
      <name val="Calibri"/>
      <family val="2"/>
      <scheme val="minor"/>
    </font>
    <font>
      <sz val="12"/>
      <color rgb="FFFF0000"/>
      <name val="Calibri"/>
      <family val="2"/>
    </font>
    <font>
      <b/>
      <sz val="11"/>
      <color theme="3"/>
      <name val="Calibri"/>
      <family val="2"/>
      <scheme val="minor"/>
    </font>
    <font>
      <b/>
      <sz val="15"/>
      <color theme="3"/>
      <name val="Calibri"/>
      <family val="2"/>
      <scheme val="minor"/>
    </font>
  </fonts>
  <fills count="3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FFC7CE"/>
      </patternFill>
    </fill>
    <fill>
      <patternFill patternType="solid">
        <fgColor rgb="FFFFCC99"/>
      </patternFill>
    </fill>
    <fill>
      <patternFill patternType="solid">
        <fgColor rgb="FFC6EFCE"/>
      </patternFill>
    </fill>
    <fill>
      <patternFill patternType="solid">
        <fgColor rgb="FFFFEB9C"/>
      </patternFill>
    </fill>
    <fill>
      <patternFill patternType="solid">
        <fgColor rgb="FFCCFFCC"/>
      </patternFill>
    </fill>
    <fill>
      <patternFill patternType="solid">
        <fgColor indexed="44"/>
        <bgColor indexed="64"/>
      </patternFill>
    </fill>
    <fill>
      <patternFill patternType="solid">
        <fgColor rgb="FFFFFF00"/>
        <bgColor rgb="FFFFFF00"/>
      </patternFill>
    </fill>
    <fill>
      <patternFill patternType="solid">
        <fgColor rgb="FFFFFFFF"/>
        <bgColor rgb="FFFFFFFF"/>
      </patternFill>
    </fill>
    <fill>
      <patternFill patternType="solid">
        <fgColor rgb="FFB4C6E7"/>
        <bgColor rgb="FFB4C6E7"/>
      </patternFill>
    </fill>
    <fill>
      <patternFill patternType="solid">
        <fgColor rgb="FFFDB715"/>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66FF66"/>
        <bgColor indexed="64"/>
      </patternFill>
    </fill>
    <fill>
      <patternFill patternType="solid">
        <fgColor theme="4" tint="0.39997558519241921"/>
        <bgColor indexed="64"/>
      </patternFill>
    </fill>
    <fill>
      <patternFill patternType="solid">
        <fgColor theme="0"/>
        <bgColor indexed="64"/>
      </patternFill>
    </fill>
    <fill>
      <patternFill patternType="solid">
        <fgColor rgb="FFFFC000"/>
        <bgColor indexed="64"/>
      </patternFill>
    </fill>
    <fill>
      <patternFill patternType="solid">
        <fgColor rgb="FF00206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rgb="FFFFFF00"/>
        <bgColor rgb="FF000000"/>
      </patternFill>
    </fill>
    <fill>
      <patternFill patternType="solid">
        <fgColor theme="5" tint="0.59999389629810485"/>
        <bgColor indexed="64"/>
      </patternFill>
    </fill>
    <fill>
      <patternFill patternType="solid">
        <fgColor theme="6"/>
        <bgColor indexed="64"/>
      </patternFill>
    </fill>
    <fill>
      <patternFill patternType="solid">
        <fgColor indexed="43"/>
        <bgColor indexed="64"/>
      </patternFill>
    </fill>
    <fill>
      <patternFill patternType="solid">
        <fgColor theme="8" tint="0.79998168889431442"/>
        <bgColor indexed="65"/>
      </patternFill>
    </fill>
    <fill>
      <patternFill patternType="solid">
        <fgColor theme="5" tint="0.39997558519241921"/>
        <bgColor indexed="65"/>
      </patternFill>
    </fill>
    <fill>
      <patternFill patternType="solid">
        <fgColor theme="0" tint="-0.14999847407452621"/>
        <bgColor indexed="64"/>
      </patternFill>
    </fill>
    <fill>
      <patternFill patternType="solid">
        <fgColor theme="2"/>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0" tint="-4.9989318521683403E-2"/>
        <bgColor indexed="64"/>
      </patternFill>
    </fill>
  </fills>
  <borders count="60">
    <border>
      <left/>
      <right/>
      <top/>
      <bottom/>
      <diagonal/>
    </border>
    <border>
      <left/>
      <right/>
      <top style="thin">
        <color indexed="64"/>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medium">
        <color rgb="FF939598"/>
      </left>
      <right style="medium">
        <color rgb="FF939598"/>
      </right>
      <top/>
      <bottom style="medium">
        <color rgb="FF939598"/>
      </bottom>
      <diagonal/>
    </border>
    <border>
      <left/>
      <right style="medium">
        <color rgb="FF939598"/>
      </right>
      <top/>
      <bottom style="medium">
        <color rgb="FF939598"/>
      </bottom>
      <diagonal/>
    </border>
    <border>
      <left/>
      <right style="medium">
        <color rgb="FF939598"/>
      </right>
      <top style="medium">
        <color rgb="FF939598"/>
      </top>
      <bottom style="medium">
        <color rgb="FF939598"/>
      </bottom>
      <diagonal/>
    </border>
    <border>
      <left/>
      <right/>
      <top style="medium">
        <color rgb="FF939598"/>
      </top>
      <bottom style="medium">
        <color rgb="FF939598"/>
      </bottom>
      <diagonal/>
    </border>
    <border>
      <left style="medium">
        <color rgb="FF939598"/>
      </left>
      <right/>
      <top style="medium">
        <color rgb="FF939598"/>
      </top>
      <bottom style="medium">
        <color rgb="FF939598"/>
      </bottom>
      <diagonal/>
    </border>
    <border>
      <left style="medium">
        <color auto="1"/>
      </left>
      <right style="medium">
        <color auto="1"/>
      </right>
      <top style="medium">
        <color auto="1"/>
      </top>
      <bottom style="medium">
        <color auto="1"/>
      </bottom>
      <diagonal/>
    </border>
    <border>
      <left style="thin">
        <color indexed="62"/>
      </left>
      <right style="thin">
        <color indexed="62"/>
      </right>
      <top style="thin">
        <color indexed="62"/>
      </top>
      <bottom style="thin">
        <color indexed="62"/>
      </bottom>
      <diagonal/>
    </border>
    <border>
      <left/>
      <right/>
      <top/>
      <bottom style="thick">
        <color theme="4" tint="0.499984740745262"/>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top style="thin">
        <color theme="0" tint="-0.14996795556505021"/>
      </top>
      <bottom style="thin">
        <color theme="0"/>
      </bottom>
      <diagonal/>
    </border>
    <border>
      <left style="thin">
        <color theme="0" tint="-0.14996795556505021"/>
      </left>
      <right/>
      <top/>
      <bottom/>
      <diagonal/>
    </border>
    <border>
      <left/>
      <right/>
      <top style="thin">
        <color theme="0"/>
      </top>
      <bottom style="thin">
        <color theme="0"/>
      </bottom>
      <diagonal/>
    </border>
    <border>
      <left/>
      <right/>
      <top/>
      <bottom style="thin">
        <color theme="0" tint="-0.14996795556505021"/>
      </bottom>
      <diagonal/>
    </border>
    <border>
      <left/>
      <right/>
      <top style="thin">
        <color theme="0"/>
      </top>
      <bottom style="thick">
        <color theme="0"/>
      </bottom>
      <diagonal/>
    </border>
    <border>
      <left style="thin">
        <color theme="0" tint="-0.14996795556505021"/>
      </left>
      <right/>
      <top/>
      <bottom style="thin">
        <color theme="0" tint="-0.149967955565050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right/>
      <top/>
      <bottom style="thick">
        <color theme="4"/>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s>
  <cellStyleXfs count="73">
    <xf numFmtId="0" fontId="0" fillId="0" borderId="0"/>
    <xf numFmtId="0" fontId="24" fillId="0" borderId="0"/>
    <xf numFmtId="0" fontId="24" fillId="0" borderId="0"/>
    <xf numFmtId="0" fontId="24" fillId="0" borderId="0"/>
    <xf numFmtId="0" fontId="17" fillId="0" borderId="0"/>
    <xf numFmtId="0" fontId="24" fillId="0" borderId="0"/>
    <xf numFmtId="164" fontId="24" fillId="0" borderId="0" applyFont="0" applyFill="0" applyBorder="0" applyAlignment="0" applyProtection="0"/>
    <xf numFmtId="43" fontId="24" fillId="0" borderId="0" applyFont="0" applyFill="0" applyBorder="0" applyAlignment="0" applyProtection="0"/>
    <xf numFmtId="9" fontId="24" fillId="0" borderId="0" applyFont="0" applyFill="0" applyBorder="0" applyAlignment="0" applyProtection="0"/>
    <xf numFmtId="0" fontId="24" fillId="0" borderId="0"/>
    <xf numFmtId="0" fontId="17" fillId="0" borderId="0"/>
    <xf numFmtId="0" fontId="38" fillId="0" borderId="0" applyNumberFormat="0" applyFill="0" applyBorder="0" applyAlignment="0" applyProtection="0">
      <alignment vertical="top"/>
      <protection locked="0"/>
    </xf>
    <xf numFmtId="0" fontId="16" fillId="0" borderId="0"/>
    <xf numFmtId="9" fontId="16" fillId="0" borderId="0" applyFont="0" applyFill="0" applyBorder="0" applyAlignment="0" applyProtection="0"/>
    <xf numFmtId="0" fontId="40" fillId="0" borderId="0"/>
    <xf numFmtId="43" fontId="40" fillId="0" borderId="0" applyFont="0" applyFill="0" applyBorder="0" applyAlignment="0" applyProtection="0"/>
    <xf numFmtId="164" fontId="16" fillId="0" borderId="0" applyFont="0" applyFill="0" applyBorder="0" applyAlignment="0" applyProtection="0"/>
    <xf numFmtId="9" fontId="40" fillId="0" borderId="0" applyFont="0" applyFill="0" applyBorder="0" applyAlignment="0" applyProtection="0"/>
    <xf numFmtId="0" fontId="42" fillId="4" borderId="0" applyNumberFormat="0" applyBorder="0" applyAlignment="0" applyProtection="0"/>
    <xf numFmtId="0" fontId="44" fillId="0" borderId="0" applyNumberFormat="0" applyFill="0" applyBorder="0" applyAlignment="0" applyProtection="0"/>
    <xf numFmtId="0" fontId="45" fillId="5" borderId="8" applyNumberFormat="0" applyAlignment="0" applyProtection="0"/>
    <xf numFmtId="0" fontId="46" fillId="6" borderId="0" applyNumberFormat="0" applyBorder="0" applyAlignment="0" applyProtection="0"/>
    <xf numFmtId="0" fontId="47" fillId="7" borderId="0" applyNumberFormat="0" applyBorder="0" applyAlignment="0" applyProtection="0"/>
    <xf numFmtId="172" fontId="24" fillId="0" borderId="0"/>
    <xf numFmtId="0" fontId="50" fillId="0" borderId="0"/>
    <xf numFmtId="0" fontId="54" fillId="0" borderId="0"/>
    <xf numFmtId="0" fontId="15" fillId="0" borderId="0"/>
    <xf numFmtId="0" fontId="69" fillId="0" borderId="0"/>
    <xf numFmtId="0" fontId="15" fillId="0" borderId="0"/>
    <xf numFmtId="9" fontId="15" fillId="0" borderId="0" applyFont="0" applyFill="0" applyBorder="0" applyAlignment="0" applyProtection="0"/>
    <xf numFmtId="0" fontId="15" fillId="0" borderId="0"/>
    <xf numFmtId="164" fontId="79" fillId="0" borderId="0" applyFont="0" applyFill="0" applyBorder="0" applyAlignment="0" applyProtection="0"/>
    <xf numFmtId="0" fontId="80" fillId="0" borderId="0" applyNumberFormat="0" applyFill="0" applyBorder="0" applyAlignment="0" applyProtection="0"/>
    <xf numFmtId="43" fontId="15" fillId="0" borderId="0" applyFont="0" applyFill="0" applyBorder="0" applyAlignment="0" applyProtection="0"/>
    <xf numFmtId="164" fontId="15" fillId="0" borderId="0" applyFont="0" applyFill="0" applyBorder="0" applyAlignment="0" applyProtection="0"/>
    <xf numFmtId="0" fontId="15" fillId="0" borderId="0"/>
    <xf numFmtId="0" fontId="39" fillId="3" borderId="8" applyNumberFormat="0" applyAlignment="0" applyProtection="0"/>
    <xf numFmtId="0" fontId="45" fillId="5" borderId="8" applyNumberFormat="0" applyAlignment="0" applyProtection="0"/>
    <xf numFmtId="0" fontId="38" fillId="0" borderId="0" applyNumberFormat="0" applyFill="0" applyBorder="0" applyAlignment="0" applyProtection="0">
      <alignment vertical="top"/>
      <protection locked="0"/>
    </xf>
    <xf numFmtId="0" fontId="86" fillId="0" borderId="38" applyNumberFormat="0" applyFill="0" applyAlignment="0" applyProtection="0"/>
    <xf numFmtId="9" fontId="91" fillId="0" borderId="0" applyFont="0" applyFill="0" applyBorder="0" applyAlignment="0" applyProtection="0"/>
    <xf numFmtId="43" fontId="93" fillId="0" borderId="0" applyFont="0" applyFill="0" applyBorder="0" applyAlignment="0" applyProtection="0"/>
    <xf numFmtId="0" fontId="87" fillId="0" borderId="0" applyNumberFormat="0" applyFill="0" applyBorder="0" applyAlignment="0" applyProtection="0"/>
    <xf numFmtId="0" fontId="8"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164" fontId="7" fillId="0" borderId="0" applyFont="0" applyFill="0" applyBorder="0" applyAlignment="0" applyProtection="0"/>
    <xf numFmtId="0" fontId="6" fillId="28" borderId="0" applyNumberFormat="0" applyBorder="0" applyAlignment="0" applyProtection="0"/>
    <xf numFmtId="0" fontId="5" fillId="28" borderId="0" applyNumberFormat="0" applyBorder="0" applyAlignment="0" applyProtection="0"/>
    <xf numFmtId="0" fontId="108" fillId="29" borderId="0" applyNumberFormat="0" applyBorder="0" applyAlignment="0" applyProtection="0"/>
    <xf numFmtId="43" fontId="5" fillId="0" borderId="0" applyFont="0" applyFill="0" applyBorder="0" applyAlignment="0" applyProtection="0"/>
    <xf numFmtId="0" fontId="110" fillId="7" borderId="0" applyNumberFormat="0" applyBorder="0" applyAlignment="0" applyProtection="0"/>
    <xf numFmtId="0" fontId="24" fillId="0" borderId="0"/>
    <xf numFmtId="0" fontId="24" fillId="0" borderId="0"/>
    <xf numFmtId="0" fontId="24" fillId="0" borderId="0"/>
    <xf numFmtId="0" fontId="5" fillId="0" borderId="0"/>
    <xf numFmtId="0" fontId="24" fillId="0" borderId="0"/>
    <xf numFmtId="0" fontId="109"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112" fillId="0" borderId="0" applyNumberFormat="0" applyFill="0" applyBorder="0" applyAlignment="0" applyProtection="0"/>
    <xf numFmtId="0" fontId="113" fillId="0" borderId="57" applyNumberFormat="0" applyFill="0" applyAlignment="0" applyProtection="0"/>
    <xf numFmtId="0" fontId="39" fillId="3" borderId="8" applyNumberFormat="0" applyAlignment="0" applyProtection="0"/>
    <xf numFmtId="0" fontId="2" fillId="0" borderId="0"/>
    <xf numFmtId="9" fontId="2" fillId="0" borderId="0" applyFont="0" applyFill="0" applyBorder="0" applyAlignment="0" applyProtection="0"/>
  </cellStyleXfs>
  <cellXfs count="545">
    <xf numFmtId="0" fontId="0" fillId="0" borderId="0" xfId="0"/>
    <xf numFmtId="0" fontId="18" fillId="0" borderId="0" xfId="0" applyFont="1"/>
    <xf numFmtId="0" fontId="20" fillId="0" borderId="0" xfId="0" applyFont="1"/>
    <xf numFmtId="0" fontId="21" fillId="0" borderId="0" xfId="0" applyFont="1"/>
    <xf numFmtId="0" fontId="22" fillId="0" borderId="0" xfId="0" applyFont="1"/>
    <xf numFmtId="0" fontId="19" fillId="0" borderId="0" xfId="0" applyFont="1"/>
    <xf numFmtId="0" fontId="20" fillId="0" borderId="0" xfId="0" applyFont="1" applyAlignment="1">
      <alignment horizontal="center" wrapText="1"/>
    </xf>
    <xf numFmtId="0" fontId="18" fillId="0" borderId="0" xfId="1" applyFont="1"/>
    <xf numFmtId="0" fontId="24" fillId="0" borderId="0" xfId="1"/>
    <xf numFmtId="0" fontId="21" fillId="0" borderId="0" xfId="1" applyFont="1"/>
    <xf numFmtId="0" fontId="27" fillId="0" borderId="0" xfId="1" applyFont="1"/>
    <xf numFmtId="0" fontId="20" fillId="0" borderId="0" xfId="1" applyFont="1"/>
    <xf numFmtId="0" fontId="28" fillId="0" borderId="0" xfId="0" applyFont="1"/>
    <xf numFmtId="0" fontId="29" fillId="0" borderId="0" xfId="0" applyFont="1"/>
    <xf numFmtId="0" fontId="30" fillId="0" borderId="0" xfId="0" applyFont="1"/>
    <xf numFmtId="0" fontId="22" fillId="0" borderId="0" xfId="1" applyFont="1"/>
    <xf numFmtId="0" fontId="29" fillId="0" borderId="0" xfId="1" applyFont="1"/>
    <xf numFmtId="0" fontId="30" fillId="0" borderId="0" xfId="1" applyFont="1"/>
    <xf numFmtId="49" fontId="29" fillId="0" borderId="0" xfId="0" applyNumberFormat="1" applyFont="1" applyAlignment="1">
      <alignment horizontal="left"/>
    </xf>
    <xf numFmtId="0" fontId="31" fillId="0" borderId="0" xfId="1" applyFont="1"/>
    <xf numFmtId="0" fontId="25" fillId="0" borderId="0" xfId="1" applyFont="1" applyAlignment="1">
      <alignment horizontal="center"/>
    </xf>
    <xf numFmtId="0" fontId="21" fillId="0" borderId="0" xfId="1" applyFont="1" applyAlignment="1">
      <alignment horizontal="center"/>
    </xf>
    <xf numFmtId="0" fontId="21" fillId="0" borderId="0" xfId="1" applyFont="1" applyAlignment="1">
      <alignment horizontal="center" wrapText="1"/>
    </xf>
    <xf numFmtId="0" fontId="27" fillId="0" borderId="0" xfId="0" applyFont="1"/>
    <xf numFmtId="0" fontId="30" fillId="2" borderId="0" xfId="0" applyFont="1" applyFill="1"/>
    <xf numFmtId="0" fontId="30" fillId="2" borderId="0" xfId="1" applyFont="1" applyFill="1"/>
    <xf numFmtId="0" fontId="21" fillId="0" borderId="0" xfId="0" applyFont="1" applyAlignment="1">
      <alignment horizontal="center"/>
    </xf>
    <xf numFmtId="0" fontId="29" fillId="0" borderId="0" xfId="0" applyFont="1" applyAlignment="1">
      <alignment horizontal="center"/>
    </xf>
    <xf numFmtId="0" fontId="34" fillId="0" borderId="0" xfId="3" applyFont="1"/>
    <xf numFmtId="0" fontId="24" fillId="0" borderId="0" xfId="3"/>
    <xf numFmtId="0" fontId="21" fillId="0" borderId="0" xfId="2" applyFont="1"/>
    <xf numFmtId="0" fontId="37" fillId="0" borderId="0" xfId="2" applyFont="1"/>
    <xf numFmtId="0" fontId="21" fillId="0" borderId="0" xfId="3" applyFont="1"/>
    <xf numFmtId="0" fontId="37" fillId="0" borderId="0" xfId="3" applyFont="1"/>
    <xf numFmtId="0" fontId="37" fillId="0" borderId="0" xfId="1" applyFont="1"/>
    <xf numFmtId="0" fontId="35" fillId="0" borderId="0" xfId="1" applyFont="1"/>
    <xf numFmtId="0" fontId="21" fillId="0" borderId="0" xfId="2" applyFont="1" applyAlignment="1">
      <alignment horizontal="right"/>
    </xf>
    <xf numFmtId="0" fontId="21" fillId="0" borderId="0" xfId="2" applyFont="1" applyAlignment="1">
      <alignment horizontal="center"/>
    </xf>
    <xf numFmtId="168" fontId="21" fillId="0" borderId="0" xfId="2" applyNumberFormat="1" applyFont="1"/>
    <xf numFmtId="2" fontId="21" fillId="0" borderId="0" xfId="2" applyNumberFormat="1" applyFont="1"/>
    <xf numFmtId="167" fontId="21" fillId="0" borderId="0" xfId="2" applyNumberFormat="1" applyFont="1"/>
    <xf numFmtId="166" fontId="21" fillId="0" borderId="0" xfId="2" applyNumberFormat="1" applyFont="1"/>
    <xf numFmtId="0" fontId="44" fillId="0" borderId="0" xfId="19"/>
    <xf numFmtId="0" fontId="21" fillId="0" borderId="0" xfId="2" applyFont="1" applyAlignment="1">
      <alignment horizontal="left"/>
    </xf>
    <xf numFmtId="0" fontId="45" fillId="5" borderId="8" xfId="20"/>
    <xf numFmtId="0" fontId="24" fillId="0" borderId="0" xfId="2"/>
    <xf numFmtId="0" fontId="30" fillId="0" borderId="0" xfId="2" applyFont="1"/>
    <xf numFmtId="0" fontId="20" fillId="0" borderId="0" xfId="2" applyFont="1"/>
    <xf numFmtId="0" fontId="36" fillId="0" borderId="0" xfId="1" applyFont="1"/>
    <xf numFmtId="1" fontId="21" fillId="0" borderId="0" xfId="2" applyNumberFormat="1" applyFont="1"/>
    <xf numFmtId="0" fontId="47" fillId="7" borderId="0" xfId="22"/>
    <xf numFmtId="2" fontId="21" fillId="0" borderId="0" xfId="2" applyNumberFormat="1" applyFont="1" applyAlignment="1">
      <alignment horizontal="center"/>
    </xf>
    <xf numFmtId="2" fontId="47" fillId="7" borderId="0" xfId="22" applyNumberFormat="1" applyAlignment="1">
      <alignment horizontal="center"/>
    </xf>
    <xf numFmtId="167" fontId="21" fillId="0" borderId="0" xfId="2" applyNumberFormat="1" applyFont="1" applyAlignment="1">
      <alignment horizontal="center"/>
    </xf>
    <xf numFmtId="166" fontId="21" fillId="0" borderId="0" xfId="2" applyNumberFormat="1" applyFont="1" applyAlignment="1">
      <alignment horizontal="center"/>
    </xf>
    <xf numFmtId="0" fontId="20" fillId="0" borderId="0" xfId="2" applyFont="1" applyAlignment="1">
      <alignment horizontal="center" wrapText="1"/>
    </xf>
    <xf numFmtId="0" fontId="31" fillId="0" borderId="0" xfId="2" applyFont="1"/>
    <xf numFmtId="0" fontId="30" fillId="0" borderId="0" xfId="2" applyFont="1" applyAlignment="1">
      <alignment wrapText="1"/>
    </xf>
    <xf numFmtId="0" fontId="29" fillId="0" borderId="0" xfId="2" applyFont="1" applyAlignment="1">
      <alignment horizontal="center"/>
    </xf>
    <xf numFmtId="0" fontId="21" fillId="0" borderId="0" xfId="2" applyFont="1" applyAlignment="1">
      <alignment wrapText="1"/>
    </xf>
    <xf numFmtId="3" fontId="21" fillId="0" borderId="0" xfId="2" applyNumberFormat="1" applyFont="1"/>
    <xf numFmtId="1" fontId="21" fillId="0" borderId="0" xfId="2" applyNumberFormat="1" applyFont="1" applyAlignment="1">
      <alignment horizontal="center"/>
    </xf>
    <xf numFmtId="2" fontId="42" fillId="4" borderId="0" xfId="18" applyNumberFormat="1" applyAlignment="1">
      <alignment horizontal="center"/>
    </xf>
    <xf numFmtId="166" fontId="46" fillId="6" borderId="0" xfId="21" applyNumberFormat="1" applyAlignment="1">
      <alignment horizontal="center"/>
    </xf>
    <xf numFmtId="4" fontId="21" fillId="0" borderId="0" xfId="2" applyNumberFormat="1" applyFont="1"/>
    <xf numFmtId="9" fontId="21" fillId="0" borderId="0" xfId="2" applyNumberFormat="1" applyFont="1" applyAlignment="1">
      <alignment horizontal="center"/>
    </xf>
    <xf numFmtId="2" fontId="24" fillId="0" borderId="0" xfId="2" applyNumberFormat="1"/>
    <xf numFmtId="10" fontId="21" fillId="0" borderId="0" xfId="2" applyNumberFormat="1" applyFont="1" applyAlignment="1">
      <alignment horizontal="center"/>
    </xf>
    <xf numFmtId="0" fontId="50" fillId="0" borderId="0" xfId="24"/>
    <xf numFmtId="0" fontId="51" fillId="0" borderId="0" xfId="24" applyFont="1"/>
    <xf numFmtId="0" fontId="52" fillId="0" borderId="0" xfId="24" applyFont="1"/>
    <xf numFmtId="0" fontId="53" fillId="0" borderId="0" xfId="24" applyFont="1"/>
    <xf numFmtId="9" fontId="50" fillId="0" borderId="0" xfId="24" applyNumberFormat="1"/>
    <xf numFmtId="2" fontId="50" fillId="0" borderId="0" xfId="24" applyNumberFormat="1"/>
    <xf numFmtId="165" fontId="50" fillId="0" borderId="0" xfId="24" applyNumberFormat="1"/>
    <xf numFmtId="165" fontId="42" fillId="4" borderId="0" xfId="18" applyNumberFormat="1"/>
    <xf numFmtId="167" fontId="50" fillId="0" borderId="0" xfId="24" applyNumberFormat="1"/>
    <xf numFmtId="0" fontId="54" fillId="0" borderId="0" xfId="25" applyAlignment="1">
      <alignment horizontal="left" vertical="top"/>
    </xf>
    <xf numFmtId="171" fontId="0" fillId="0" borderId="0" xfId="8" applyNumberFormat="1" applyFont="1"/>
    <xf numFmtId="9" fontId="54" fillId="0" borderId="0" xfId="8" applyFont="1" applyAlignment="1">
      <alignment horizontal="left" vertical="top"/>
    </xf>
    <xf numFmtId="10" fontId="21" fillId="0" borderId="10" xfId="8" applyNumberFormat="1" applyFont="1" applyBorder="1" applyAlignment="1">
      <alignment horizontal="right" vertical="top" wrapText="1"/>
    </xf>
    <xf numFmtId="0" fontId="21" fillId="8" borderId="10" xfId="25" applyFont="1" applyFill="1" applyBorder="1" applyAlignment="1">
      <alignment horizontal="left" vertical="top" wrapText="1"/>
    </xf>
    <xf numFmtId="0" fontId="21" fillId="8" borderId="10" xfId="25" applyFont="1" applyFill="1" applyBorder="1" applyAlignment="1">
      <alignment horizontal="right" vertical="top" wrapText="1"/>
    </xf>
    <xf numFmtId="173" fontId="31" fillId="8" borderId="10" xfId="25" applyNumberFormat="1" applyFont="1" applyFill="1" applyBorder="1" applyAlignment="1">
      <alignment horizontal="center" vertical="top" wrapText="1"/>
    </xf>
    <xf numFmtId="1" fontId="31" fillId="8" borderId="10" xfId="25" applyNumberFormat="1" applyFont="1" applyFill="1" applyBorder="1" applyAlignment="1">
      <alignment horizontal="center" vertical="top" wrapText="1"/>
    </xf>
    <xf numFmtId="10" fontId="45" fillId="5" borderId="8" xfId="20" applyNumberFormat="1"/>
    <xf numFmtId="171" fontId="18" fillId="0" borderId="0" xfId="8" applyNumberFormat="1" applyFont="1"/>
    <xf numFmtId="0" fontId="54" fillId="0" borderId="0" xfId="25" applyAlignment="1">
      <alignment horizontal="right" vertical="top"/>
    </xf>
    <xf numFmtId="10" fontId="54" fillId="0" borderId="0" xfId="25" applyNumberFormat="1" applyAlignment="1">
      <alignment horizontal="left" vertical="top"/>
    </xf>
    <xf numFmtId="0" fontId="21" fillId="8" borderId="0" xfId="25" applyFont="1" applyFill="1" applyAlignment="1">
      <alignment horizontal="left" vertical="top" wrapText="1"/>
    </xf>
    <xf numFmtId="1" fontId="24" fillId="0" borderId="0" xfId="2" applyNumberFormat="1"/>
    <xf numFmtId="171" fontId="54" fillId="0" borderId="0" xfId="8" applyNumberFormat="1" applyFont="1" applyAlignment="1">
      <alignment horizontal="left" vertical="top"/>
    </xf>
    <xf numFmtId="0" fontId="54" fillId="8" borderId="0" xfId="25" applyFill="1" applyAlignment="1">
      <alignment horizontal="left" vertical="top" wrapText="1"/>
    </xf>
    <xf numFmtId="0" fontId="54" fillId="8" borderId="10" xfId="25" applyFill="1" applyBorder="1" applyAlignment="1">
      <alignment horizontal="left" vertical="top" wrapText="1"/>
    </xf>
    <xf numFmtId="0" fontId="54" fillId="8" borderId="13" xfId="25" applyFill="1" applyBorder="1" applyAlignment="1">
      <alignment horizontal="left" vertical="top" wrapText="1"/>
    </xf>
    <xf numFmtId="0" fontId="21" fillId="0" borderId="10" xfId="25" applyFont="1" applyBorder="1" applyAlignment="1">
      <alignment horizontal="right" vertical="top" wrapText="1"/>
    </xf>
    <xf numFmtId="1" fontId="31" fillId="8" borderId="10" xfId="25" applyNumberFormat="1" applyFont="1" applyFill="1" applyBorder="1" applyAlignment="1">
      <alignment horizontal="right" vertical="top" wrapText="1"/>
    </xf>
    <xf numFmtId="166" fontId="24" fillId="0" borderId="0" xfId="2" applyNumberFormat="1"/>
    <xf numFmtId="165" fontId="54" fillId="0" borderId="0" xfId="25" applyNumberFormat="1" applyAlignment="1">
      <alignment horizontal="left" vertical="top"/>
    </xf>
    <xf numFmtId="170" fontId="54" fillId="0" borderId="0" xfId="7" applyNumberFormat="1" applyFont="1" applyAlignment="1">
      <alignment horizontal="left" vertical="top"/>
    </xf>
    <xf numFmtId="170" fontId="21" fillId="0" borderId="0" xfId="7" applyNumberFormat="1" applyFont="1" applyAlignment="1">
      <alignment horizontal="right" vertical="top" wrapText="1"/>
    </xf>
    <xf numFmtId="170" fontId="21" fillId="0" borderId="10" xfId="7" applyNumberFormat="1" applyFont="1" applyBorder="1" applyAlignment="1">
      <alignment horizontal="right" vertical="top" wrapText="1"/>
    </xf>
    <xf numFmtId="170" fontId="54" fillId="0" borderId="0" xfId="7" applyNumberFormat="1" applyFont="1" applyAlignment="1">
      <alignment horizontal="right" vertical="top" wrapText="1"/>
    </xf>
    <xf numFmtId="170" fontId="54" fillId="0" borderId="10" xfId="7" applyNumberFormat="1" applyFont="1" applyBorder="1" applyAlignment="1">
      <alignment horizontal="left" vertical="top" wrapText="1"/>
    </xf>
    <xf numFmtId="170" fontId="54" fillId="0" borderId="0" xfId="7" applyNumberFormat="1" applyFont="1" applyAlignment="1">
      <alignment horizontal="left" vertical="top" wrapText="1"/>
    </xf>
    <xf numFmtId="170" fontId="31" fillId="0" borderId="0" xfId="7" applyNumberFormat="1" applyFont="1" applyAlignment="1">
      <alignment horizontal="right" vertical="top" wrapText="1"/>
    </xf>
    <xf numFmtId="170" fontId="31" fillId="0" borderId="10" xfId="7" applyNumberFormat="1" applyFont="1" applyBorder="1" applyAlignment="1">
      <alignment horizontal="right" vertical="top" wrapText="1"/>
    </xf>
    <xf numFmtId="170" fontId="42" fillId="4" borderId="0" xfId="18" applyNumberFormat="1" applyAlignment="1">
      <alignment horizontal="left" vertical="top"/>
    </xf>
    <xf numFmtId="0" fontId="20" fillId="8" borderId="0" xfId="25" applyFont="1" applyFill="1" applyAlignment="1">
      <alignment horizontal="left" vertical="top" wrapText="1" indent="1"/>
    </xf>
    <xf numFmtId="0" fontId="20" fillId="8" borderId="10" xfId="25" applyFont="1" applyFill="1" applyBorder="1" applyAlignment="1">
      <alignment horizontal="left" vertical="top" wrapText="1" indent="1"/>
    </xf>
    <xf numFmtId="0" fontId="45" fillId="5" borderId="8" xfId="20" applyAlignment="1">
      <alignment horizontal="center" vertical="top"/>
    </xf>
    <xf numFmtId="0" fontId="20" fillId="8" borderId="0" xfId="25" applyFont="1" applyFill="1" applyAlignment="1">
      <alignment horizontal="left" wrapText="1"/>
    </xf>
    <xf numFmtId="0" fontId="54" fillId="8" borderId="14" xfId="25" applyFill="1" applyBorder="1" applyAlignment="1">
      <alignment horizontal="left" vertical="top" wrapText="1"/>
    </xf>
    <xf numFmtId="0" fontId="58" fillId="0" borderId="0" xfId="25" applyFont="1" applyAlignment="1">
      <alignment horizontal="left" vertical="top"/>
    </xf>
    <xf numFmtId="2" fontId="54" fillId="0" borderId="0" xfId="25" applyNumberFormat="1" applyAlignment="1">
      <alignment horizontal="right" vertical="top"/>
    </xf>
    <xf numFmtId="0" fontId="59" fillId="0" borderId="10" xfId="25" applyFont="1" applyBorder="1" applyAlignment="1">
      <alignment horizontal="right" vertical="top" wrapText="1"/>
    </xf>
    <xf numFmtId="0" fontId="43" fillId="0" borderId="10" xfId="25" applyFont="1" applyBorder="1" applyAlignment="1">
      <alignment horizontal="right" vertical="top" wrapText="1"/>
    </xf>
    <xf numFmtId="0" fontId="60" fillId="8" borderId="10" xfId="25" applyFont="1" applyFill="1" applyBorder="1" applyAlignment="1">
      <alignment horizontal="left" vertical="top" wrapText="1"/>
    </xf>
    <xf numFmtId="0" fontId="60" fillId="8" borderId="10" xfId="25" applyFont="1" applyFill="1" applyBorder="1" applyAlignment="1">
      <alignment horizontal="center" vertical="top" wrapText="1"/>
    </xf>
    <xf numFmtId="173" fontId="61" fillId="0" borderId="10" xfId="25" applyNumberFormat="1" applyFont="1" applyBorder="1" applyAlignment="1">
      <alignment horizontal="center" vertical="top" wrapText="1"/>
    </xf>
    <xf numFmtId="173" fontId="61" fillId="0" borderId="10" xfId="25" applyNumberFormat="1" applyFont="1" applyBorder="1" applyAlignment="1">
      <alignment horizontal="left" vertical="top" wrapText="1" indent="1"/>
    </xf>
    <xf numFmtId="1" fontId="61" fillId="0" borderId="10" xfId="25" applyNumberFormat="1" applyFont="1" applyBorder="1" applyAlignment="1">
      <alignment horizontal="center" vertical="top" wrapText="1"/>
    </xf>
    <xf numFmtId="0" fontId="60" fillId="0" borderId="10" xfId="25" applyFont="1" applyBorder="1" applyAlignment="1">
      <alignment horizontal="left" vertical="top" wrapText="1"/>
    </xf>
    <xf numFmtId="0" fontId="60" fillId="8" borderId="10" xfId="25" applyFont="1" applyFill="1" applyBorder="1" applyAlignment="1">
      <alignment horizontal="center" vertical="center" wrapText="1"/>
    </xf>
    <xf numFmtId="173" fontId="61" fillId="0" borderId="10" xfId="25" applyNumberFormat="1" applyFont="1" applyBorder="1" applyAlignment="1">
      <alignment horizontal="center" vertical="center" wrapText="1"/>
    </xf>
    <xf numFmtId="173" fontId="61" fillId="0" borderId="10" xfId="25" applyNumberFormat="1" applyFont="1" applyBorder="1" applyAlignment="1">
      <alignment horizontal="left" vertical="center" wrapText="1" indent="1"/>
    </xf>
    <xf numFmtId="1" fontId="61" fillId="0" borderId="10" xfId="25" applyNumberFormat="1" applyFont="1" applyBorder="1" applyAlignment="1">
      <alignment horizontal="center" vertical="center" wrapText="1"/>
    </xf>
    <xf numFmtId="0" fontId="60" fillId="0" borderId="10" xfId="25" applyFont="1" applyBorder="1" applyAlignment="1">
      <alignment horizontal="left" vertical="center" wrapText="1"/>
    </xf>
    <xf numFmtId="0" fontId="62" fillId="0" borderId="10" xfId="25" applyFont="1" applyBorder="1" applyAlignment="1">
      <alignment horizontal="right" vertical="top" wrapText="1"/>
    </xf>
    <xf numFmtId="0" fontId="63" fillId="8" borderId="10" xfId="25" applyFont="1" applyFill="1" applyBorder="1" applyAlignment="1">
      <alignment horizontal="left" vertical="top" wrapText="1" indent="1"/>
    </xf>
    <xf numFmtId="0" fontId="63" fillId="8" borderId="12" xfId="25" applyFont="1" applyFill="1" applyBorder="1" applyAlignment="1">
      <alignment horizontal="left" vertical="top" wrapText="1" indent="1"/>
    </xf>
    <xf numFmtId="0" fontId="63" fillId="8" borderId="13" xfId="25" applyFont="1" applyFill="1" applyBorder="1" applyAlignment="1">
      <alignment horizontal="left" vertical="center" wrapText="1"/>
    </xf>
    <xf numFmtId="0" fontId="63" fillId="8" borderId="11" xfId="25" applyFont="1" applyFill="1" applyBorder="1" applyAlignment="1">
      <alignment horizontal="left" vertical="center" wrapText="1"/>
    </xf>
    <xf numFmtId="0" fontId="63" fillId="8" borderId="12" xfId="25" applyFont="1" applyFill="1" applyBorder="1" applyAlignment="1">
      <alignment horizontal="left" vertical="center" wrapText="1"/>
    </xf>
    <xf numFmtId="0" fontId="63" fillId="8" borderId="10" xfId="25" applyFont="1" applyFill="1" applyBorder="1" applyAlignment="1">
      <alignment horizontal="left" vertical="center" wrapText="1"/>
    </xf>
    <xf numFmtId="0" fontId="63" fillId="8" borderId="10" xfId="25" applyFont="1" applyFill="1" applyBorder="1" applyAlignment="1">
      <alignment horizontal="center" vertical="center" wrapText="1"/>
    </xf>
    <xf numFmtId="0" fontId="63" fillId="8" borderId="10" xfId="25" applyFont="1" applyFill="1" applyBorder="1" applyAlignment="1">
      <alignment horizontal="center" vertical="top" wrapText="1"/>
    </xf>
    <xf numFmtId="0" fontId="63" fillId="8" borderId="10" xfId="25" applyFont="1" applyFill="1" applyBorder="1" applyAlignment="1">
      <alignment horizontal="left" vertical="center" wrapText="1" indent="1"/>
    </xf>
    <xf numFmtId="0" fontId="54" fillId="0" borderId="0" xfId="25" applyAlignment="1">
      <alignment horizontal="left" vertical="top" wrapText="1" indent="1"/>
    </xf>
    <xf numFmtId="0" fontId="54" fillId="0" borderId="0" xfId="25" applyAlignment="1">
      <alignment horizontal="left" vertical="top" indent="1"/>
    </xf>
    <xf numFmtId="0" fontId="60" fillId="0" borderId="0" xfId="25" applyFont="1" applyAlignment="1">
      <alignment horizontal="left" vertical="top" wrapText="1" indent="1"/>
    </xf>
    <xf numFmtId="0" fontId="60" fillId="0" borderId="0" xfId="25" applyFont="1" applyAlignment="1">
      <alignment horizontal="left" vertical="top" indent="1"/>
    </xf>
    <xf numFmtId="166" fontId="54" fillId="0" borderId="0" xfId="25" applyNumberFormat="1" applyAlignment="1">
      <alignment horizontal="right" vertical="top"/>
    </xf>
    <xf numFmtId="0" fontId="64" fillId="0" borderId="0" xfId="25" applyFont="1" applyAlignment="1">
      <alignment horizontal="left" vertical="top" wrapText="1" indent="1"/>
    </xf>
    <xf numFmtId="170" fontId="60" fillId="0" borderId="10" xfId="7" applyNumberFormat="1" applyFont="1" applyBorder="1" applyAlignment="1">
      <alignment horizontal="right" vertical="top" wrapText="1"/>
    </xf>
    <xf numFmtId="170" fontId="60" fillId="0" borderId="12" xfId="7" applyNumberFormat="1" applyFont="1" applyBorder="1" applyAlignment="1">
      <alignment horizontal="right" vertical="top" wrapText="1"/>
    </xf>
    <xf numFmtId="171" fontId="45" fillId="5" borderId="8" xfId="20" applyNumberFormat="1" applyAlignment="1">
      <alignment horizontal="right" vertical="top"/>
    </xf>
    <xf numFmtId="170" fontId="54" fillId="0" borderId="12" xfId="7" applyNumberFormat="1" applyFont="1" applyBorder="1" applyAlignment="1">
      <alignment horizontal="left" vertical="top" wrapText="1"/>
    </xf>
    <xf numFmtId="170" fontId="60" fillId="0" borderId="10" xfId="7" applyNumberFormat="1" applyFont="1" applyBorder="1" applyAlignment="1">
      <alignment horizontal="right" vertical="center" wrapText="1"/>
    </xf>
    <xf numFmtId="170" fontId="60" fillId="0" borderId="12" xfId="7" applyNumberFormat="1" applyFont="1" applyBorder="1" applyAlignment="1">
      <alignment horizontal="right" vertical="center" wrapText="1"/>
    </xf>
    <xf numFmtId="170" fontId="65" fillId="0" borderId="10" xfId="7" applyNumberFormat="1" applyFont="1" applyBorder="1" applyAlignment="1">
      <alignment horizontal="right" vertical="top" wrapText="1"/>
    </xf>
    <xf numFmtId="170" fontId="65" fillId="0" borderId="12" xfId="7" applyNumberFormat="1" applyFont="1" applyBorder="1" applyAlignment="1">
      <alignment horizontal="right" vertical="top" wrapText="1"/>
    </xf>
    <xf numFmtId="0" fontId="43" fillId="0" borderId="16" xfId="25" applyFont="1" applyBorder="1" applyAlignment="1">
      <alignment horizontal="left" vertical="top" wrapText="1" indent="14"/>
    </xf>
    <xf numFmtId="0" fontId="44" fillId="0" borderId="0" xfId="19" applyAlignment="1">
      <alignment horizontal="left" vertical="top"/>
    </xf>
    <xf numFmtId="170" fontId="24" fillId="0" borderId="0" xfId="2" applyNumberFormat="1"/>
    <xf numFmtId="170" fontId="0" fillId="0" borderId="0" xfId="7" applyNumberFormat="1" applyFont="1"/>
    <xf numFmtId="15" fontId="24" fillId="0" borderId="0" xfId="2" applyNumberFormat="1"/>
    <xf numFmtId="0" fontId="15" fillId="0" borderId="0" xfId="26"/>
    <xf numFmtId="4" fontId="15" fillId="0" borderId="0" xfId="26" applyNumberFormat="1"/>
    <xf numFmtId="4" fontId="66" fillId="0" borderId="21" xfId="26" quotePrefix="1" applyNumberFormat="1" applyFont="1" applyBorder="1" applyAlignment="1">
      <alignment horizontal="right" wrapText="1"/>
    </xf>
    <xf numFmtId="4" fontId="66" fillId="0" borderId="22" xfId="26" quotePrefix="1" applyNumberFormat="1" applyFont="1" applyBorder="1" applyAlignment="1">
      <alignment horizontal="right" wrapText="1"/>
    </xf>
    <xf numFmtId="0" fontId="66" fillId="0" borderId="22" xfId="26" quotePrefix="1" applyFont="1" applyBorder="1" applyAlignment="1">
      <alignment horizontal="right" wrapText="1"/>
    </xf>
    <xf numFmtId="0" fontId="15" fillId="2" borderId="23" xfId="26" applyFill="1" applyBorder="1"/>
    <xf numFmtId="0" fontId="66" fillId="0" borderId="21" xfId="26" quotePrefix="1" applyFont="1" applyBorder="1" applyAlignment="1">
      <alignment horizontal="left" wrapText="1"/>
    </xf>
    <xf numFmtId="0" fontId="66" fillId="0" borderId="22" xfId="26" quotePrefix="1" applyFont="1" applyBorder="1" applyAlignment="1">
      <alignment horizontal="left" wrapText="1"/>
    </xf>
    <xf numFmtId="4" fontId="66" fillId="0" borderId="24" xfId="26" quotePrefix="1" applyNumberFormat="1" applyFont="1" applyBorder="1" applyAlignment="1">
      <alignment horizontal="right" wrapText="1"/>
    </xf>
    <xf numFmtId="4" fontId="66" fillId="0" borderId="25" xfId="26" quotePrefix="1" applyNumberFormat="1" applyFont="1" applyBorder="1" applyAlignment="1">
      <alignment horizontal="right" wrapText="1"/>
    </xf>
    <xf numFmtId="0" fontId="66" fillId="0" borderId="25" xfId="26" quotePrefix="1" applyFont="1" applyBorder="1" applyAlignment="1">
      <alignment horizontal="right" wrapText="1"/>
    </xf>
    <xf numFmtId="0" fontId="15" fillId="2" borderId="4" xfId="26" applyFill="1" applyBorder="1"/>
    <xf numFmtId="0" fontId="66" fillId="0" borderId="24" xfId="26" quotePrefix="1" applyFont="1" applyBorder="1" applyAlignment="1">
      <alignment horizontal="left" wrapText="1"/>
    </xf>
    <xf numFmtId="0" fontId="66" fillId="0" borderId="25" xfId="26" quotePrefix="1" applyFont="1" applyBorder="1" applyAlignment="1">
      <alignment horizontal="left" wrapText="1"/>
    </xf>
    <xf numFmtId="174" fontId="66" fillId="0" borderId="25" xfId="26" quotePrefix="1" applyNumberFormat="1" applyFont="1" applyBorder="1" applyAlignment="1">
      <alignment horizontal="left" wrapText="1"/>
    </xf>
    <xf numFmtId="0" fontId="66" fillId="0" borderId="26" xfId="26" quotePrefix="1" applyFont="1" applyBorder="1" applyAlignment="1">
      <alignment horizontal="left" wrapText="1"/>
    </xf>
    <xf numFmtId="4" fontId="66" fillId="0" borderId="27" xfId="26" quotePrefix="1" applyNumberFormat="1" applyFont="1" applyBorder="1" applyAlignment="1">
      <alignment horizontal="right" wrapText="1"/>
    </xf>
    <xf numFmtId="0" fontId="66" fillId="0" borderId="28" xfId="26" quotePrefix="1" applyFont="1" applyBorder="1" applyAlignment="1">
      <alignment horizontal="right" wrapText="1"/>
    </xf>
    <xf numFmtId="0" fontId="15" fillId="2" borderId="29" xfId="26" applyFill="1" applyBorder="1"/>
    <xf numFmtId="0" fontId="66" fillId="0" borderId="27" xfId="26" quotePrefix="1" applyFont="1" applyBorder="1" applyAlignment="1">
      <alignment horizontal="left" wrapText="1"/>
    </xf>
    <xf numFmtId="0" fontId="66" fillId="0" borderId="28" xfId="26" quotePrefix="1" applyFont="1" applyBorder="1" applyAlignment="1">
      <alignment horizontal="left" wrapText="1"/>
    </xf>
    <xf numFmtId="166" fontId="67" fillId="9" borderId="9" xfId="26" applyNumberFormat="1" applyFont="1" applyFill="1" applyBorder="1" applyAlignment="1">
      <alignment wrapText="1"/>
    </xf>
    <xf numFmtId="0" fontId="68" fillId="9" borderId="9" xfId="26" applyFont="1" applyFill="1" applyBorder="1" applyAlignment="1">
      <alignment wrapText="1"/>
    </xf>
    <xf numFmtId="0" fontId="33" fillId="2" borderId="30" xfId="26" applyFont="1" applyFill="1" applyBorder="1"/>
    <xf numFmtId="0" fontId="68" fillId="9" borderId="9" xfId="26" applyFont="1" applyFill="1" applyBorder="1"/>
    <xf numFmtId="0" fontId="69" fillId="0" borderId="0" xfId="27"/>
    <xf numFmtId="3" fontId="70" fillId="0" borderId="0" xfId="27" applyNumberFormat="1" applyFont="1"/>
    <xf numFmtId="9" fontId="69" fillId="0" borderId="0" xfId="8" applyFont="1"/>
    <xf numFmtId="9" fontId="70" fillId="0" borderId="0" xfId="27" applyNumberFormat="1" applyFont="1"/>
    <xf numFmtId="0" fontId="70" fillId="0" borderId="0" xfId="27" applyFont="1"/>
    <xf numFmtId="10" fontId="70" fillId="0" borderId="0" xfId="27" applyNumberFormat="1" applyFont="1"/>
    <xf numFmtId="171" fontId="70" fillId="0" borderId="0" xfId="27" applyNumberFormat="1" applyFont="1"/>
    <xf numFmtId="4" fontId="71" fillId="0" borderId="15" xfId="27" applyNumberFormat="1" applyFont="1" applyBorder="1" applyAlignment="1">
      <alignment horizontal="right"/>
    </xf>
    <xf numFmtId="0" fontId="71" fillId="0" borderId="15" xfId="27" applyFont="1" applyBorder="1" applyAlignment="1">
      <alignment horizontal="right"/>
    </xf>
    <xf numFmtId="0" fontId="72" fillId="10" borderId="15" xfId="27" applyFont="1" applyFill="1" applyBorder="1"/>
    <xf numFmtId="0" fontId="71" fillId="10" borderId="15" xfId="27" applyFont="1" applyFill="1" applyBorder="1" applyAlignment="1">
      <alignment horizontal="left"/>
    </xf>
    <xf numFmtId="0" fontId="71" fillId="0" borderId="15" xfId="27" applyFont="1" applyBorder="1" applyAlignment="1">
      <alignment horizontal="left"/>
    </xf>
    <xf numFmtId="0" fontId="71" fillId="0" borderId="14" xfId="27" applyFont="1" applyBorder="1" applyAlignment="1">
      <alignment horizontal="left"/>
    </xf>
    <xf numFmtId="0" fontId="71" fillId="11" borderId="15" xfId="27" applyFont="1" applyFill="1" applyBorder="1" applyAlignment="1">
      <alignment horizontal="left"/>
    </xf>
    <xf numFmtId="0" fontId="71" fillId="11" borderId="14" xfId="27" applyFont="1" applyFill="1" applyBorder="1" applyAlignment="1">
      <alignment horizontal="left"/>
    </xf>
    <xf numFmtId="4" fontId="72" fillId="0" borderId="15" xfId="27" applyNumberFormat="1" applyFont="1" applyBorder="1" applyAlignment="1">
      <alignment horizontal="right"/>
    </xf>
    <xf numFmtId="0" fontId="72" fillId="0" borderId="15" xfId="27" applyFont="1" applyBorder="1" applyAlignment="1">
      <alignment horizontal="right"/>
    </xf>
    <xf numFmtId="4" fontId="42" fillId="4" borderId="15" xfId="18" applyNumberFormat="1" applyBorder="1" applyAlignment="1">
      <alignment horizontal="right"/>
    </xf>
    <xf numFmtId="0" fontId="72" fillId="0" borderId="15" xfId="27" applyFont="1" applyBorder="1"/>
    <xf numFmtId="0" fontId="72" fillId="0" borderId="14" xfId="27" applyFont="1" applyBorder="1"/>
    <xf numFmtId="0" fontId="73" fillId="12" borderId="13" xfId="27" applyFont="1" applyFill="1" applyBorder="1"/>
    <xf numFmtId="0" fontId="74" fillId="10" borderId="13" xfId="27" applyFont="1" applyFill="1" applyBorder="1"/>
    <xf numFmtId="0" fontId="73" fillId="10" borderId="13" xfId="27" applyFont="1" applyFill="1" applyBorder="1"/>
    <xf numFmtId="0" fontId="73" fillId="12" borderId="10" xfId="27" applyFont="1" applyFill="1" applyBorder="1"/>
    <xf numFmtId="9" fontId="0" fillId="0" borderId="0" xfId="8" applyFont="1"/>
    <xf numFmtId="3" fontId="24" fillId="0" borderId="0" xfId="2" applyNumberFormat="1"/>
    <xf numFmtId="3" fontId="47" fillId="7" borderId="0" xfId="22" applyNumberFormat="1"/>
    <xf numFmtId="0" fontId="75" fillId="0" borderId="31" xfId="2" applyFont="1" applyBorder="1" applyAlignment="1">
      <alignment horizontal="left" vertical="center" wrapText="1"/>
    </xf>
    <xf numFmtId="3" fontId="42" fillId="4" borderId="0" xfId="18" applyNumberFormat="1"/>
    <xf numFmtId="0" fontId="73" fillId="12" borderId="15" xfId="27" applyFont="1" applyFill="1" applyBorder="1"/>
    <xf numFmtId="0" fontId="75" fillId="0" borderId="0" xfId="2" applyFont="1" applyAlignment="1">
      <alignment horizontal="left" vertical="center" wrapText="1"/>
    </xf>
    <xf numFmtId="4" fontId="75" fillId="0" borderId="32" xfId="2" applyNumberFormat="1" applyFont="1" applyBorder="1" applyAlignment="1">
      <alignment horizontal="right" vertical="center" wrapText="1"/>
    </xf>
    <xf numFmtId="0" fontId="75" fillId="0" borderId="32" xfId="2" applyFont="1" applyBorder="1" applyAlignment="1">
      <alignment horizontal="center" vertical="center" wrapText="1"/>
    </xf>
    <xf numFmtId="4" fontId="75" fillId="0" borderId="32" xfId="2" applyNumberFormat="1" applyFont="1" applyBorder="1" applyAlignment="1">
      <alignment horizontal="left" vertical="center" wrapText="1"/>
    </xf>
    <xf numFmtId="4" fontId="75" fillId="0" borderId="32" xfId="2" applyNumberFormat="1" applyFont="1" applyBorder="1" applyAlignment="1">
      <alignment horizontal="center" vertical="center" wrapText="1"/>
    </xf>
    <xf numFmtId="0" fontId="75" fillId="0" borderId="32" xfId="2" applyFont="1" applyBorder="1" applyAlignment="1">
      <alignment horizontal="left" vertical="center" wrapText="1"/>
    </xf>
    <xf numFmtId="2" fontId="75" fillId="0" borderId="32" xfId="2" applyNumberFormat="1" applyFont="1" applyBorder="1" applyAlignment="1">
      <alignment horizontal="left" vertical="center" wrapText="1"/>
    </xf>
    <xf numFmtId="0" fontId="76" fillId="13" borderId="33" xfId="2" applyFont="1" applyFill="1" applyBorder="1" applyAlignment="1">
      <alignment horizontal="left" vertical="center" wrapText="1"/>
    </xf>
    <xf numFmtId="0" fontId="76" fillId="13" borderId="34" xfId="2" applyFont="1" applyFill="1" applyBorder="1" applyAlignment="1">
      <alignment horizontal="left" vertical="center" wrapText="1"/>
    </xf>
    <xf numFmtId="0" fontId="76" fillId="13" borderId="35" xfId="2" applyFont="1" applyFill="1" applyBorder="1" applyAlignment="1">
      <alignment horizontal="left" vertical="center" wrapText="1"/>
    </xf>
    <xf numFmtId="0" fontId="18" fillId="0" borderId="0" xfId="2" applyFont="1"/>
    <xf numFmtId="0" fontId="15" fillId="0" borderId="0" xfId="28"/>
    <xf numFmtId="2" fontId="15" fillId="0" borderId="0" xfId="28" applyNumberFormat="1"/>
    <xf numFmtId="170" fontId="15" fillId="0" borderId="0" xfId="7" applyNumberFormat="1" applyFont="1"/>
    <xf numFmtId="9" fontId="15" fillId="0" borderId="0" xfId="28" applyNumberFormat="1"/>
    <xf numFmtId="3" fontId="15" fillId="0" borderId="0" xfId="28" applyNumberFormat="1"/>
    <xf numFmtId="2" fontId="77" fillId="0" borderId="0" xfId="28" applyNumberFormat="1" applyFont="1" applyAlignment="1">
      <alignment wrapText="1"/>
    </xf>
    <xf numFmtId="2" fontId="78" fillId="0" borderId="4" xfId="28" applyNumberFormat="1" applyFont="1" applyBorder="1" applyAlignment="1">
      <alignment horizontal="center"/>
    </xf>
    <xf numFmtId="0" fontId="15" fillId="0" borderId="4" xfId="28" applyBorder="1" applyAlignment="1">
      <alignment horizontal="center"/>
    </xf>
    <xf numFmtId="165" fontId="78" fillId="0" borderId="4" xfId="28" applyNumberFormat="1" applyFont="1" applyBorder="1" applyAlignment="1">
      <alignment horizontal="center"/>
    </xf>
    <xf numFmtId="0" fontId="78" fillId="0" borderId="4" xfId="28" applyFont="1" applyBorder="1" applyAlignment="1">
      <alignment horizontal="center"/>
    </xf>
    <xf numFmtId="0" fontId="15" fillId="0" borderId="4" xfId="28" applyBorder="1"/>
    <xf numFmtId="2" fontId="67" fillId="0" borderId="4" xfId="28" applyNumberFormat="1" applyFont="1" applyBorder="1" applyAlignment="1">
      <alignment wrapText="1"/>
    </xf>
    <xf numFmtId="1" fontId="78" fillId="0" borderId="4" xfId="28" applyNumberFormat="1" applyFont="1" applyBorder="1" applyAlignment="1">
      <alignment horizontal="center"/>
    </xf>
    <xf numFmtId="2" fontId="78" fillId="0" borderId="4" xfId="28" applyNumberFormat="1" applyFont="1" applyBorder="1"/>
    <xf numFmtId="2" fontId="78" fillId="0" borderId="0" xfId="28" applyNumberFormat="1" applyFont="1"/>
    <xf numFmtId="2" fontId="77" fillId="0" borderId="4" xfId="28" applyNumberFormat="1" applyFont="1" applyBorder="1" applyAlignment="1">
      <alignment wrapText="1"/>
    </xf>
    <xf numFmtId="2" fontId="78" fillId="0" borderId="6" xfId="28" applyNumberFormat="1" applyFont="1" applyBorder="1"/>
    <xf numFmtId="165" fontId="78" fillId="0" borderId="4" xfId="28" applyNumberFormat="1" applyFont="1" applyBorder="1"/>
    <xf numFmtId="165" fontId="78" fillId="0" borderId="6" xfId="28" applyNumberFormat="1" applyFont="1" applyBorder="1"/>
    <xf numFmtId="165" fontId="78" fillId="0" borderId="0" xfId="28" applyNumberFormat="1" applyFont="1"/>
    <xf numFmtId="1" fontId="78" fillId="0" borderId="4" xfId="28" applyNumberFormat="1" applyFont="1" applyBorder="1"/>
    <xf numFmtId="2" fontId="71" fillId="0" borderId="4" xfId="28" applyNumberFormat="1" applyFont="1" applyBorder="1" applyAlignment="1">
      <alignment wrapText="1"/>
    </xf>
    <xf numFmtId="2" fontId="15" fillId="14" borderId="4" xfId="28" applyNumberFormat="1" applyFill="1" applyBorder="1" applyAlignment="1">
      <alignment wrapText="1"/>
    </xf>
    <xf numFmtId="2" fontId="15" fillId="0" borderId="0" xfId="28" applyNumberFormat="1" applyAlignment="1">
      <alignment wrapText="1"/>
    </xf>
    <xf numFmtId="2" fontId="15" fillId="0" borderId="4" xfId="28" applyNumberFormat="1" applyBorder="1" applyAlignment="1">
      <alignment wrapText="1"/>
    </xf>
    <xf numFmtId="2" fontId="15" fillId="0" borderId="3" xfId="28" applyNumberFormat="1" applyBorder="1"/>
    <xf numFmtId="166" fontId="15" fillId="0" borderId="0" xfId="26" applyNumberFormat="1"/>
    <xf numFmtId="166" fontId="46" fillId="6" borderId="0" xfId="21" applyNumberFormat="1"/>
    <xf numFmtId="2" fontId="15" fillId="0" borderId="0" xfId="26" applyNumberFormat="1"/>
    <xf numFmtId="9" fontId="0" fillId="0" borderId="0" xfId="29" applyFont="1"/>
    <xf numFmtId="0" fontId="15" fillId="0" borderId="0" xfId="26" applyAlignment="1">
      <alignment wrapText="1"/>
    </xf>
    <xf numFmtId="0" fontId="33" fillId="0" borderId="0" xfId="26" applyFont="1"/>
    <xf numFmtId="0" fontId="79" fillId="0" borderId="0" xfId="30" applyFont="1"/>
    <xf numFmtId="0" fontId="15" fillId="0" borderId="0" xfId="30"/>
    <xf numFmtId="0" fontId="46" fillId="6" borderId="0" xfId="21"/>
    <xf numFmtId="0" fontId="15" fillId="0" borderId="0" xfId="26" quotePrefix="1"/>
    <xf numFmtId="165" fontId="15" fillId="0" borderId="0" xfId="26" applyNumberFormat="1"/>
    <xf numFmtId="171" fontId="0" fillId="0" borderId="0" xfId="29" applyNumberFormat="1" applyFont="1"/>
    <xf numFmtId="169" fontId="79" fillId="0" borderId="0" xfId="31" applyNumberFormat="1"/>
    <xf numFmtId="1" fontId="15" fillId="0" borderId="0" xfId="26" applyNumberFormat="1"/>
    <xf numFmtId="169" fontId="46" fillId="6" borderId="0" xfId="21" applyNumberFormat="1"/>
    <xf numFmtId="1" fontId="46" fillId="6" borderId="0" xfId="21" applyNumberFormat="1"/>
    <xf numFmtId="0" fontId="80" fillId="0" borderId="0" xfId="32"/>
    <xf numFmtId="9" fontId="15" fillId="0" borderId="0" xfId="26" applyNumberFormat="1"/>
    <xf numFmtId="170" fontId="15" fillId="0" borderId="0" xfId="26" applyNumberFormat="1"/>
    <xf numFmtId="170" fontId="46" fillId="6" borderId="0" xfId="21" applyNumberFormat="1"/>
    <xf numFmtId="165" fontId="46" fillId="6" borderId="0" xfId="21" applyNumberFormat="1"/>
    <xf numFmtId="169" fontId="15" fillId="0" borderId="0" xfId="26" applyNumberFormat="1"/>
    <xf numFmtId="170" fontId="0" fillId="0" borderId="0" xfId="33" applyNumberFormat="1" applyFont="1"/>
    <xf numFmtId="165" fontId="33" fillId="0" borderId="0" xfId="26" applyNumberFormat="1" applyFont="1"/>
    <xf numFmtId="2" fontId="33" fillId="0" borderId="0" xfId="26" applyNumberFormat="1" applyFont="1"/>
    <xf numFmtId="1" fontId="33" fillId="0" borderId="0" xfId="26" applyNumberFormat="1" applyFont="1"/>
    <xf numFmtId="166" fontId="33" fillId="0" borderId="0" xfId="26" applyNumberFormat="1" applyFont="1"/>
    <xf numFmtId="175" fontId="15" fillId="0" borderId="0" xfId="26" applyNumberFormat="1"/>
    <xf numFmtId="167" fontId="15" fillId="0" borderId="0" xfId="26" applyNumberFormat="1"/>
    <xf numFmtId="166" fontId="42" fillId="4" borderId="0" xfId="18" applyNumberFormat="1"/>
    <xf numFmtId="0" fontId="15" fillId="0" borderId="0" xfId="30" quotePrefix="1"/>
    <xf numFmtId="169" fontId="15" fillId="0" borderId="0" xfId="30" applyNumberFormat="1"/>
    <xf numFmtId="170" fontId="0" fillId="0" borderId="0" xfId="34" applyNumberFormat="1" applyFont="1"/>
    <xf numFmtId="3" fontId="15" fillId="0" borderId="0" xfId="30" applyNumberFormat="1"/>
    <xf numFmtId="0" fontId="41" fillId="0" borderId="0" xfId="30" applyFont="1"/>
    <xf numFmtId="0" fontId="81" fillId="0" borderId="0" xfId="30" applyFont="1"/>
    <xf numFmtId="166" fontId="15" fillId="0" borderId="0" xfId="30" applyNumberFormat="1"/>
    <xf numFmtId="4" fontId="41" fillId="0" borderId="0" xfId="30" applyNumberFormat="1" applyFont="1"/>
    <xf numFmtId="4" fontId="15" fillId="0" borderId="0" xfId="30" applyNumberFormat="1"/>
    <xf numFmtId="4" fontId="82" fillId="0" borderId="0" xfId="30" applyNumberFormat="1" applyFont="1"/>
    <xf numFmtId="0" fontId="33" fillId="0" borderId="0" xfId="30" applyFont="1"/>
    <xf numFmtId="0" fontId="83" fillId="0" borderId="0" xfId="30" applyFont="1"/>
    <xf numFmtId="9" fontId="83" fillId="0" borderId="0" xfId="29" applyFont="1"/>
    <xf numFmtId="2" fontId="15" fillId="0" borderId="0" xfId="30" applyNumberFormat="1"/>
    <xf numFmtId="2" fontId="33" fillId="0" borderId="0" xfId="30" applyNumberFormat="1" applyFont="1"/>
    <xf numFmtId="9" fontId="41" fillId="0" borderId="0" xfId="29" applyFont="1"/>
    <xf numFmtId="2" fontId="15" fillId="15" borderId="0" xfId="30" applyNumberFormat="1" applyFill="1"/>
    <xf numFmtId="165" fontId="15" fillId="0" borderId="0" xfId="30" applyNumberFormat="1"/>
    <xf numFmtId="167" fontId="15" fillId="0" borderId="0" xfId="30" applyNumberFormat="1"/>
    <xf numFmtId="0" fontId="15" fillId="0" borderId="0" xfId="30" applyAlignment="1">
      <alignment wrapText="1"/>
    </xf>
    <xf numFmtId="0" fontId="33" fillId="0" borderId="0" xfId="30" applyFont="1" applyAlignment="1">
      <alignment wrapText="1"/>
    </xf>
    <xf numFmtId="4" fontId="15" fillId="0" borderId="0" xfId="30" applyNumberFormat="1" applyAlignment="1">
      <alignment wrapText="1"/>
    </xf>
    <xf numFmtId="176" fontId="33" fillId="0" borderId="0" xfId="30" applyNumberFormat="1" applyFont="1" applyAlignment="1">
      <alignment wrapText="1"/>
    </xf>
    <xf numFmtId="10" fontId="15" fillId="0" borderId="0" xfId="30" applyNumberFormat="1"/>
    <xf numFmtId="0" fontId="24" fillId="16" borderId="36" xfId="3" applyFill="1" applyBorder="1"/>
    <xf numFmtId="4" fontId="84" fillId="0" borderId="37" xfId="35" applyNumberFormat="1" applyFont="1" applyBorder="1" applyAlignment="1">
      <alignment horizontal="right" vertical="center" wrapText="1"/>
    </xf>
    <xf numFmtId="49" fontId="84" fillId="0" borderId="37" xfId="35" applyNumberFormat="1" applyFont="1" applyBorder="1" applyAlignment="1">
      <alignment horizontal="left" vertical="center" wrapText="1"/>
    </xf>
    <xf numFmtId="0" fontId="85" fillId="17" borderId="37" xfId="35" applyFont="1" applyFill="1" applyBorder="1" applyAlignment="1">
      <alignment horizontal="center" vertical="center" wrapText="1"/>
    </xf>
    <xf numFmtId="0" fontId="84" fillId="0" borderId="0" xfId="3" applyFont="1" applyAlignment="1">
      <alignment horizontal="left" vertical="center"/>
    </xf>
    <xf numFmtId="4" fontId="84" fillId="0" borderId="0" xfId="3" applyNumberFormat="1" applyFont="1" applyAlignment="1">
      <alignment horizontal="left" vertical="center"/>
    </xf>
    <xf numFmtId="0" fontId="84" fillId="0" borderId="0" xfId="3" applyFont="1" applyAlignment="1">
      <alignment horizontal="left" vertical="center" wrapText="1"/>
    </xf>
    <xf numFmtId="177" fontId="84" fillId="0" borderId="0" xfId="3" applyNumberFormat="1" applyFont="1" applyAlignment="1">
      <alignment horizontal="left" vertical="center"/>
    </xf>
    <xf numFmtId="166" fontId="39" fillId="3" borderId="8" xfId="36" applyNumberFormat="1"/>
    <xf numFmtId="0" fontId="39" fillId="3" borderId="8" xfId="36"/>
    <xf numFmtId="0" fontId="45" fillId="2" borderId="8" xfId="37" applyFill="1"/>
    <xf numFmtId="0" fontId="45" fillId="18" borderId="8" xfId="37" applyFill="1"/>
    <xf numFmtId="0" fontId="38" fillId="0" borderId="0" xfId="38" applyAlignment="1" applyProtection="1"/>
    <xf numFmtId="4" fontId="42" fillId="4" borderId="6" xfId="18" applyNumberFormat="1" applyBorder="1" applyAlignment="1">
      <alignment horizontal="left" vertical="center"/>
    </xf>
    <xf numFmtId="4" fontId="84" fillId="19" borderId="6" xfId="3" applyNumberFormat="1" applyFont="1" applyFill="1" applyBorder="1" applyAlignment="1">
      <alignment horizontal="left" vertical="center"/>
    </xf>
    <xf numFmtId="4" fontId="84" fillId="19" borderId="5" xfId="3" applyNumberFormat="1" applyFont="1" applyFill="1" applyBorder="1" applyAlignment="1">
      <alignment horizontal="left" vertical="center"/>
    </xf>
    <xf numFmtId="0" fontId="84" fillId="19" borderId="7" xfId="3" applyFont="1" applyFill="1" applyBorder="1" applyAlignment="1">
      <alignment horizontal="left" vertical="center" wrapText="1"/>
    </xf>
    <xf numFmtId="0" fontId="84" fillId="0" borderId="8" xfId="37" applyFont="1" applyFill="1" applyAlignment="1">
      <alignment horizontal="center" vertical="center"/>
    </xf>
    <xf numFmtId="4" fontId="42" fillId="4" borderId="37" xfId="18" applyNumberFormat="1" applyBorder="1" applyAlignment="1">
      <alignment horizontal="right" vertical="center" wrapText="1"/>
    </xf>
    <xf numFmtId="0" fontId="42" fillId="4" borderId="37" xfId="18" applyBorder="1" applyAlignment="1">
      <alignment horizontal="center" vertical="center" wrapText="1"/>
    </xf>
    <xf numFmtId="0" fontId="35" fillId="0" borderId="0" xfId="2" applyFont="1"/>
    <xf numFmtId="4" fontId="42" fillId="4" borderId="25" xfId="18" quotePrefix="1" applyNumberFormat="1" applyBorder="1" applyAlignment="1">
      <alignment horizontal="right" wrapText="1"/>
    </xf>
    <xf numFmtId="0" fontId="14" fillId="0" borderId="0" xfId="26" applyFont="1"/>
    <xf numFmtId="3" fontId="15" fillId="0" borderId="0" xfId="26" applyNumberFormat="1"/>
    <xf numFmtId="2" fontId="69" fillId="0" borderId="0" xfId="27" applyNumberFormat="1"/>
    <xf numFmtId="165" fontId="69" fillId="0" borderId="0" xfId="27" applyNumberFormat="1"/>
    <xf numFmtId="43" fontId="24" fillId="0" borderId="0" xfId="2" applyNumberFormat="1"/>
    <xf numFmtId="0" fontId="24" fillId="0" borderId="0" xfId="0" applyFont="1"/>
    <xf numFmtId="0" fontId="86" fillId="0" borderId="38" xfId="39"/>
    <xf numFmtId="0" fontId="45" fillId="5" borderId="8" xfId="20" applyAlignment="1">
      <alignment horizontal="center"/>
    </xf>
    <xf numFmtId="167" fontId="24" fillId="0" borderId="0" xfId="2" applyNumberFormat="1"/>
    <xf numFmtId="2" fontId="35" fillId="0" borderId="0" xfId="2" applyNumberFormat="1" applyFont="1"/>
    <xf numFmtId="0" fontId="87" fillId="5" borderId="8" xfId="20" applyFont="1" applyAlignment="1">
      <alignment horizontal="center"/>
    </xf>
    <xf numFmtId="0" fontId="13" fillId="0" borderId="0" xfId="30" applyFont="1"/>
    <xf numFmtId="0" fontId="88" fillId="0" borderId="0" xfId="0" applyFont="1" applyAlignment="1">
      <alignment horizontal="left" vertical="center" wrapText="1" indent="1"/>
    </xf>
    <xf numFmtId="166" fontId="45" fillId="5" borderId="8" xfId="20" applyNumberFormat="1"/>
    <xf numFmtId="167" fontId="0" fillId="0" borderId="0" xfId="0" applyNumberFormat="1"/>
    <xf numFmtId="1" fontId="18" fillId="0" borderId="0" xfId="2" applyNumberFormat="1" applyFont="1"/>
    <xf numFmtId="0" fontId="89" fillId="0" borderId="0" xfId="0" applyFont="1"/>
    <xf numFmtId="0" fontId="90" fillId="0" borderId="0" xfId="25" applyFont="1" applyAlignment="1">
      <alignment horizontal="right" vertical="top"/>
    </xf>
    <xf numFmtId="0" fontId="90" fillId="0" borderId="0" xfId="25" applyFont="1" applyAlignment="1">
      <alignment horizontal="left" vertical="top"/>
    </xf>
    <xf numFmtId="171" fontId="45" fillId="5" borderId="8" xfId="20" applyNumberFormat="1"/>
    <xf numFmtId="9" fontId="45" fillId="5" borderId="8" xfId="20" applyNumberFormat="1"/>
    <xf numFmtId="171" fontId="24" fillId="0" borderId="0" xfId="40" applyNumberFormat="1" applyFont="1"/>
    <xf numFmtId="168" fontId="24" fillId="0" borderId="0" xfId="2" applyNumberFormat="1"/>
    <xf numFmtId="0" fontId="21" fillId="0" borderId="0" xfId="0" applyFont="1" applyAlignment="1">
      <alignment wrapText="1"/>
    </xf>
    <xf numFmtId="0" fontId="92" fillId="0" borderId="0" xfId="0" applyFont="1"/>
    <xf numFmtId="0" fontId="12" fillId="0" borderId="0" xfId="28" applyFont="1"/>
    <xf numFmtId="171" fontId="15" fillId="0" borderId="0" xfId="40" applyNumberFormat="1" applyFont="1"/>
    <xf numFmtId="2" fontId="11" fillId="2" borderId="0" xfId="28" applyNumberFormat="1" applyFont="1" applyFill="1" applyAlignment="1">
      <alignment wrapText="1"/>
    </xf>
    <xf numFmtId="0" fontId="11" fillId="0" borderId="0" xfId="28" applyFont="1"/>
    <xf numFmtId="2" fontId="11" fillId="0" borderId="0" xfId="28" applyNumberFormat="1" applyFont="1"/>
    <xf numFmtId="2" fontId="10" fillId="0" borderId="0" xfId="28" applyNumberFormat="1" applyFont="1"/>
    <xf numFmtId="0" fontId="10" fillId="0" borderId="0" xfId="28" applyFont="1"/>
    <xf numFmtId="166" fontId="42" fillId="4" borderId="0" xfId="18" applyNumberFormat="1" applyAlignment="1">
      <alignment horizontal="center"/>
    </xf>
    <xf numFmtId="178" fontId="21" fillId="0" borderId="0" xfId="2" applyNumberFormat="1" applyFont="1" applyAlignment="1">
      <alignment horizontal="center"/>
    </xf>
    <xf numFmtId="178" fontId="21" fillId="0" borderId="0" xfId="2" applyNumberFormat="1" applyFont="1"/>
    <xf numFmtId="167" fontId="24" fillId="0" borderId="0" xfId="3" applyNumberFormat="1"/>
    <xf numFmtId="166" fontId="24" fillId="0" borderId="0" xfId="3" applyNumberFormat="1"/>
    <xf numFmtId="1" fontId="0" fillId="0" borderId="0" xfId="0" applyNumberFormat="1"/>
    <xf numFmtId="0" fontId="45" fillId="5" borderId="8" xfId="20" applyAlignment="1">
      <alignment horizontal="left"/>
    </xf>
    <xf numFmtId="0" fontId="94" fillId="0" borderId="0" xfId="0" applyFont="1"/>
    <xf numFmtId="0" fontId="95" fillId="0" borderId="0" xfId="0" applyFont="1" applyAlignment="1">
      <alignment horizontal="center" vertical="top"/>
    </xf>
    <xf numFmtId="0" fontId="95" fillId="0" borderId="40" xfId="0" applyFont="1" applyBorder="1"/>
    <xf numFmtId="179" fontId="94" fillId="21" borderId="41" xfId="0" applyNumberFormat="1" applyFont="1" applyFill="1" applyBorder="1"/>
    <xf numFmtId="0" fontId="95" fillId="0" borderId="0" xfId="0" applyFont="1"/>
    <xf numFmtId="179" fontId="94" fillId="21" borderId="43" xfId="0" applyNumberFormat="1" applyFont="1" applyFill="1" applyBorder="1"/>
    <xf numFmtId="0" fontId="95" fillId="0" borderId="44" xfId="0" applyFont="1" applyBorder="1"/>
    <xf numFmtId="179" fontId="94" fillId="21" borderId="45" xfId="0" applyNumberFormat="1" applyFont="1" applyFill="1" applyBorder="1"/>
    <xf numFmtId="179" fontId="0" fillId="0" borderId="0" xfId="0" applyNumberFormat="1"/>
    <xf numFmtId="170" fontId="0" fillId="0" borderId="0" xfId="41" applyNumberFormat="1" applyFont="1"/>
    <xf numFmtId="0" fontId="98" fillId="0" borderId="0" xfId="0" applyFont="1" applyAlignment="1">
      <alignment vertical="center"/>
    </xf>
    <xf numFmtId="9" fontId="21" fillId="0" borderId="0" xfId="40" applyFont="1"/>
    <xf numFmtId="9" fontId="0" fillId="0" borderId="0" xfId="40" applyFont="1"/>
    <xf numFmtId="180" fontId="0" fillId="0" borderId="0" xfId="0" applyNumberFormat="1"/>
    <xf numFmtId="165" fontId="21" fillId="0" borderId="0" xfId="1" applyNumberFormat="1" applyFont="1"/>
    <xf numFmtId="165" fontId="21" fillId="0" borderId="0" xfId="2" applyNumberFormat="1" applyFont="1" applyAlignment="1">
      <alignment horizontal="center"/>
    </xf>
    <xf numFmtId="165" fontId="21" fillId="0" borderId="0" xfId="2" applyNumberFormat="1" applyFont="1"/>
    <xf numFmtId="2" fontId="87" fillId="5" borderId="8" xfId="42" applyNumberFormat="1" applyFill="1" applyBorder="1" applyAlignment="1">
      <alignment horizontal="center"/>
    </xf>
    <xf numFmtId="0" fontId="33" fillId="0" borderId="0" xfId="0" applyFont="1"/>
    <xf numFmtId="0" fontId="41" fillId="0" borderId="0" xfId="0" applyFont="1"/>
    <xf numFmtId="9" fontId="0" fillId="0" borderId="0" xfId="0" applyNumberFormat="1"/>
    <xf numFmtId="0" fontId="99" fillId="0" borderId="0" xfId="30" applyFont="1" applyAlignment="1">
      <alignment horizontal="left"/>
    </xf>
    <xf numFmtId="0" fontId="9" fillId="0" borderId="0" xfId="30" applyFont="1"/>
    <xf numFmtId="166" fontId="0" fillId="0" borderId="0" xfId="0" applyNumberFormat="1"/>
    <xf numFmtId="165" fontId="0" fillId="0" borderId="0" xfId="0" applyNumberFormat="1"/>
    <xf numFmtId="177" fontId="21" fillId="0" borderId="0" xfId="2" applyNumberFormat="1" applyFont="1"/>
    <xf numFmtId="181" fontId="24" fillId="0" borderId="0" xfId="2" applyNumberFormat="1"/>
    <xf numFmtId="0" fontId="100" fillId="0" borderId="0" xfId="24" applyFont="1"/>
    <xf numFmtId="0" fontId="35" fillId="0" borderId="0" xfId="2" applyFont="1" applyAlignment="1">
      <alignment horizontal="right"/>
    </xf>
    <xf numFmtId="171" fontId="21" fillId="0" borderId="0" xfId="40" applyNumberFormat="1" applyFont="1"/>
    <xf numFmtId="165" fontId="20" fillId="0" borderId="0" xfId="2" applyNumberFormat="1" applyFont="1"/>
    <xf numFmtId="0" fontId="21" fillId="0" borderId="2" xfId="2" applyFont="1" applyBorder="1"/>
    <xf numFmtId="0" fontId="20" fillId="0" borderId="2" xfId="2" applyFont="1" applyBorder="1"/>
    <xf numFmtId="0" fontId="21" fillId="0" borderId="2" xfId="2" applyFont="1" applyBorder="1" applyAlignment="1">
      <alignment wrapText="1"/>
    </xf>
    <xf numFmtId="0" fontId="35" fillId="0" borderId="2" xfId="2" applyFont="1" applyBorder="1"/>
    <xf numFmtId="2" fontId="0" fillId="0" borderId="0" xfId="0" applyNumberFormat="1"/>
    <xf numFmtId="10" fontId="0" fillId="0" borderId="0" xfId="0" applyNumberFormat="1"/>
    <xf numFmtId="0" fontId="0" fillId="0" borderId="0" xfId="0" applyAlignment="1">
      <alignment horizontal="center" vertical="center" wrapText="1"/>
    </xf>
    <xf numFmtId="0" fontId="0" fillId="0" borderId="0" xfId="0" applyAlignment="1">
      <alignment horizontal="left" vertical="center"/>
    </xf>
    <xf numFmtId="0" fontId="95" fillId="0" borderId="40" xfId="0" applyFont="1" applyBorder="1" applyAlignment="1">
      <alignment horizontal="left" vertical="center"/>
    </xf>
    <xf numFmtId="0" fontId="95" fillId="0" borderId="0" xfId="0" applyFont="1" applyAlignment="1">
      <alignment horizontal="left" vertical="center"/>
    </xf>
    <xf numFmtId="0" fontId="95" fillId="0" borderId="44" xfId="0" applyFont="1" applyBorder="1" applyAlignment="1">
      <alignment horizontal="left" vertical="center"/>
    </xf>
    <xf numFmtId="0" fontId="96" fillId="20" borderId="40" xfId="0" applyFont="1" applyFill="1" applyBorder="1" applyAlignment="1">
      <alignment horizontal="left" vertical="center"/>
    </xf>
    <xf numFmtId="0" fontId="96" fillId="20" borderId="0" xfId="0" applyFont="1" applyFill="1" applyAlignment="1">
      <alignment horizontal="left" vertical="center"/>
    </xf>
    <xf numFmtId="3" fontId="0" fillId="0" borderId="0" xfId="0" applyNumberFormat="1"/>
    <xf numFmtId="182" fontId="21" fillId="0" borderId="0" xfId="2" applyNumberFormat="1" applyFont="1"/>
    <xf numFmtId="9" fontId="21" fillId="0" borderId="0" xfId="2" applyNumberFormat="1" applyFont="1"/>
    <xf numFmtId="2" fontId="35" fillId="0" borderId="0" xfId="2" applyNumberFormat="1" applyFont="1" applyAlignment="1">
      <alignment horizontal="center"/>
    </xf>
    <xf numFmtId="0" fontId="8" fillId="0" borderId="0" xfId="43"/>
    <xf numFmtId="165" fontId="8" fillId="0" borderId="0" xfId="43" applyNumberFormat="1"/>
    <xf numFmtId="2" fontId="8" fillId="0" borderId="0" xfId="43" applyNumberFormat="1"/>
    <xf numFmtId="1" fontId="8" fillId="0" borderId="0" xfId="43" applyNumberFormat="1"/>
    <xf numFmtId="9" fontId="0" fillId="0" borderId="0" xfId="44" applyFont="1"/>
    <xf numFmtId="9" fontId="8" fillId="0" borderId="0" xfId="43" applyNumberFormat="1"/>
    <xf numFmtId="166" fontId="35" fillId="0" borderId="0" xfId="2" applyNumberFormat="1" applyFont="1" applyAlignment="1">
      <alignment horizontal="center"/>
    </xf>
    <xf numFmtId="0" fontId="101" fillId="0" borderId="0" xfId="2" applyFont="1"/>
    <xf numFmtId="0" fontId="24" fillId="0" borderId="0" xfId="2" applyAlignment="1">
      <alignment vertical="center"/>
    </xf>
    <xf numFmtId="0" fontId="24" fillId="0" borderId="47" xfId="2" applyBorder="1" applyAlignment="1">
      <alignment vertical="center"/>
    </xf>
    <xf numFmtId="0" fontId="24" fillId="0" borderId="48" xfId="2" applyBorder="1" applyAlignment="1">
      <alignment vertical="center"/>
    </xf>
    <xf numFmtId="0" fontId="24" fillId="0" borderId="49" xfId="2" applyBorder="1" applyAlignment="1">
      <alignment vertical="center"/>
    </xf>
    <xf numFmtId="0" fontId="24" fillId="0" borderId="50" xfId="2" applyBorder="1" applyAlignment="1">
      <alignment vertical="center"/>
    </xf>
    <xf numFmtId="0" fontId="24" fillId="0" borderId="51" xfId="2" applyBorder="1" applyAlignment="1">
      <alignment vertical="center"/>
    </xf>
    <xf numFmtId="0" fontId="24" fillId="0" borderId="50" xfId="2" applyBorder="1" applyAlignment="1">
      <alignment vertical="center" wrapText="1"/>
    </xf>
    <xf numFmtId="0" fontId="24" fillId="0" borderId="52" xfId="2" applyBorder="1" applyAlignment="1">
      <alignment vertical="center" wrapText="1"/>
    </xf>
    <xf numFmtId="0" fontId="24" fillId="0" borderId="53" xfId="2" applyBorder="1" applyAlignment="1">
      <alignment vertical="center"/>
    </xf>
    <xf numFmtId="0" fontId="24" fillId="0" borderId="54" xfId="2" applyBorder="1" applyAlignment="1">
      <alignment vertical="center"/>
    </xf>
    <xf numFmtId="0" fontId="24" fillId="2" borderId="0" xfId="2" applyFill="1" applyAlignment="1">
      <alignment vertical="center"/>
    </xf>
    <xf numFmtId="0" fontId="24" fillId="2" borderId="0" xfId="2" applyFill="1"/>
    <xf numFmtId="0" fontId="24" fillId="0" borderId="0" xfId="2" applyAlignment="1">
      <alignment vertical="top"/>
    </xf>
    <xf numFmtId="0" fontId="24" fillId="22" borderId="50" xfId="2" applyFill="1" applyBorder="1" applyAlignment="1">
      <alignment vertical="center" wrapText="1"/>
    </xf>
    <xf numFmtId="0" fontId="24" fillId="22" borderId="0" xfId="2" applyFill="1" applyAlignment="1">
      <alignment vertical="center"/>
    </xf>
    <xf numFmtId="0" fontId="24" fillId="22" borderId="51" xfId="2" applyFill="1" applyBorder="1" applyAlignment="1">
      <alignment vertical="center"/>
    </xf>
    <xf numFmtId="0" fontId="24" fillId="0" borderId="47" xfId="2" applyBorder="1"/>
    <xf numFmtId="0" fontId="24" fillId="0" borderId="48" xfId="2" applyBorder="1"/>
    <xf numFmtId="0" fontId="24" fillId="0" borderId="49" xfId="2" applyBorder="1"/>
    <xf numFmtId="0" fontId="24" fillId="0" borderId="50" xfId="2" applyBorder="1"/>
    <xf numFmtId="0" fontId="24" fillId="0" borderId="51" xfId="2" applyBorder="1"/>
    <xf numFmtId="0" fontId="24" fillId="2" borderId="51" xfId="2" applyFill="1" applyBorder="1"/>
    <xf numFmtId="0" fontId="24" fillId="0" borderId="52" xfId="2" applyBorder="1"/>
    <xf numFmtId="0" fontId="24" fillId="0" borderId="53" xfId="2" applyBorder="1"/>
    <xf numFmtId="0" fontId="24" fillId="0" borderId="54" xfId="2" applyBorder="1"/>
    <xf numFmtId="0" fontId="0" fillId="0" borderId="0" xfId="0" applyAlignment="1">
      <alignment horizontal="left"/>
    </xf>
    <xf numFmtId="0" fontId="51" fillId="23" borderId="0" xfId="0" applyFont="1" applyFill="1"/>
    <xf numFmtId="0" fontId="51" fillId="23" borderId="55" xfId="0" applyFont="1" applyFill="1" applyBorder="1"/>
    <xf numFmtId="0" fontId="51" fillId="23" borderId="56" xfId="0" applyFont="1" applyFill="1" applyBorder="1" applyAlignment="1">
      <alignment horizontal="left"/>
    </xf>
    <xf numFmtId="0" fontId="51" fillId="23" borderId="56" xfId="0" applyFont="1" applyFill="1" applyBorder="1"/>
    <xf numFmtId="178" fontId="24" fillId="0" borderId="0" xfId="2" applyNumberFormat="1"/>
    <xf numFmtId="166" fontId="24" fillId="2" borderId="0" xfId="2" applyNumberFormat="1" applyFill="1"/>
    <xf numFmtId="0" fontId="104" fillId="0" borderId="0" xfId="0" applyFont="1"/>
    <xf numFmtId="0" fontId="104" fillId="24" borderId="0" xfId="0" applyFont="1" applyFill="1"/>
    <xf numFmtId="3" fontId="87" fillId="0" borderId="0" xfId="30" applyNumberFormat="1" applyFont="1"/>
    <xf numFmtId="0" fontId="105" fillId="0" borderId="0" xfId="45" applyFont="1"/>
    <xf numFmtId="3" fontId="78" fillId="0" borderId="0" xfId="45" applyNumberFormat="1" applyFont="1"/>
    <xf numFmtId="0" fontId="7" fillId="0" borderId="0" xfId="45"/>
    <xf numFmtId="10" fontId="0" fillId="0" borderId="0" xfId="46" applyNumberFormat="1" applyFont="1"/>
    <xf numFmtId="11" fontId="78" fillId="0" borderId="0" xfId="45" applyNumberFormat="1" applyFont="1"/>
    <xf numFmtId="0" fontId="78" fillId="0" borderId="0" xfId="45" applyFont="1"/>
    <xf numFmtId="164" fontId="0" fillId="0" borderId="0" xfId="47" applyFont="1"/>
    <xf numFmtId="170" fontId="78" fillId="0" borderId="0" xfId="45" applyNumberFormat="1" applyFont="1"/>
    <xf numFmtId="43" fontId="78" fillId="0" borderId="0" xfId="45" applyNumberFormat="1" applyFont="1"/>
    <xf numFmtId="9" fontId="78" fillId="0" borderId="0" xfId="46" applyFont="1" applyFill="1"/>
    <xf numFmtId="0" fontId="7" fillId="0" borderId="0" xfId="45" quotePrefix="1"/>
    <xf numFmtId="0" fontId="78" fillId="0" borderId="0" xfId="45" quotePrefix="1" applyFont="1"/>
    <xf numFmtId="10" fontId="78" fillId="0" borderId="0" xfId="46" quotePrefix="1" applyNumberFormat="1" applyFont="1" applyFill="1"/>
    <xf numFmtId="183" fontId="78" fillId="0" borderId="0" xfId="47" applyNumberFormat="1" applyFont="1" applyFill="1"/>
    <xf numFmtId="164" fontId="78" fillId="0" borderId="0" xfId="47" applyFont="1" applyFill="1"/>
    <xf numFmtId="171" fontId="78" fillId="0" borderId="0" xfId="46" applyNumberFormat="1" applyFont="1" applyFill="1"/>
    <xf numFmtId="10" fontId="78" fillId="0" borderId="0" xfId="46" applyNumberFormat="1" applyFont="1" applyFill="1"/>
    <xf numFmtId="184" fontId="78" fillId="0" borderId="0" xfId="46" applyNumberFormat="1" applyFont="1" applyFill="1"/>
    <xf numFmtId="185" fontId="78" fillId="0" borderId="0" xfId="47" applyNumberFormat="1" applyFont="1" applyFill="1"/>
    <xf numFmtId="186" fontId="78" fillId="0" borderId="0" xfId="47" applyNumberFormat="1" applyFont="1" applyFill="1"/>
    <xf numFmtId="164" fontId="78" fillId="0" borderId="0" xfId="45" applyNumberFormat="1" applyFont="1"/>
    <xf numFmtId="10" fontId="78" fillId="0" borderId="0" xfId="46" applyNumberFormat="1" applyFont="1"/>
    <xf numFmtId="0" fontId="7" fillId="0" borderId="0" xfId="30" applyFont="1"/>
    <xf numFmtId="170" fontId="0" fillId="25" borderId="0" xfId="34" applyNumberFormat="1" applyFont="1" applyFill="1"/>
    <xf numFmtId="170" fontId="0" fillId="26" borderId="0" xfId="34" applyNumberFormat="1" applyFont="1" applyFill="1"/>
    <xf numFmtId="164" fontId="0" fillId="25" borderId="0" xfId="47" applyFont="1" applyFill="1"/>
    <xf numFmtId="164" fontId="0" fillId="26" borderId="0" xfId="47" applyFont="1" applyFill="1"/>
    <xf numFmtId="17" fontId="24" fillId="0" borderId="0" xfId="0" applyNumberFormat="1" applyFont="1"/>
    <xf numFmtId="0" fontId="35" fillId="0" borderId="0" xfId="2" applyFont="1" applyAlignment="1">
      <alignment wrapText="1"/>
    </xf>
    <xf numFmtId="0" fontId="106" fillId="0" borderId="0" xfId="0" applyFont="1"/>
    <xf numFmtId="0" fontId="18" fillId="27" borderId="1" xfId="0" applyFont="1" applyFill="1" applyBorder="1" applyAlignment="1">
      <alignment vertical="center"/>
    </xf>
    <xf numFmtId="0" fontId="18" fillId="27" borderId="1" xfId="0" applyFont="1" applyFill="1" applyBorder="1" applyAlignment="1">
      <alignment horizontal="center" vertical="center" wrapText="1"/>
    </xf>
    <xf numFmtId="0" fontId="107" fillId="28" borderId="1" xfId="48" applyFont="1" applyBorder="1" applyAlignment="1">
      <alignment horizontal="left" wrapText="1"/>
    </xf>
    <xf numFmtId="0" fontId="107" fillId="28" borderId="1" xfId="48" applyFont="1" applyBorder="1" applyAlignment="1">
      <alignment horizontal="center" wrapText="1"/>
    </xf>
    <xf numFmtId="0" fontId="111" fillId="0" borderId="0" xfId="0" applyFont="1"/>
    <xf numFmtId="187" fontId="112" fillId="0" borderId="0" xfId="68" applyNumberFormat="1" applyFill="1"/>
    <xf numFmtId="0" fontId="112" fillId="0" borderId="0" xfId="68" applyFill="1"/>
    <xf numFmtId="187" fontId="112" fillId="0" borderId="1" xfId="68" applyNumberFormat="1" applyFill="1" applyBorder="1" applyAlignment="1">
      <alignment horizontal="left"/>
    </xf>
    <xf numFmtId="0" fontId="42" fillId="4" borderId="0" xfId="18"/>
    <xf numFmtId="2" fontId="42" fillId="4" borderId="0" xfId="18" applyNumberFormat="1"/>
    <xf numFmtId="0" fontId="112" fillId="0" borderId="0" xfId="68"/>
    <xf numFmtId="0" fontId="112" fillId="0" borderId="0" xfId="68" applyAlignment="1">
      <alignment horizontal="center"/>
    </xf>
    <xf numFmtId="0" fontId="112" fillId="0" borderId="0" xfId="68" applyAlignment="1">
      <alignment horizontal="center" wrapText="1"/>
    </xf>
    <xf numFmtId="0" fontId="112" fillId="0" borderId="0" xfId="68" applyAlignment="1">
      <alignment wrapText="1"/>
    </xf>
    <xf numFmtId="0" fontId="112" fillId="4" borderId="0" xfId="68" applyFill="1" applyAlignment="1">
      <alignment wrapText="1"/>
    </xf>
    <xf numFmtId="0" fontId="4" fillId="0" borderId="0" xfId="30" applyFont="1"/>
    <xf numFmtId="0" fontId="3" fillId="0" borderId="0" xfId="28" applyFont="1"/>
    <xf numFmtId="188" fontId="94" fillId="30" borderId="41" xfId="0" applyNumberFormat="1" applyFont="1" applyFill="1" applyBorder="1"/>
    <xf numFmtId="188" fontId="94" fillId="30" borderId="43" xfId="0" applyNumberFormat="1" applyFont="1" applyFill="1" applyBorder="1"/>
    <xf numFmtId="188" fontId="94" fillId="30" borderId="45" xfId="0" applyNumberFormat="1" applyFont="1" applyFill="1" applyBorder="1"/>
    <xf numFmtId="0" fontId="108" fillId="0" borderId="0" xfId="71" applyFont="1"/>
    <xf numFmtId="0" fontId="113" fillId="0" borderId="57" xfId="69"/>
    <xf numFmtId="0" fontId="80" fillId="31" borderId="0" xfId="32" applyFill="1"/>
    <xf numFmtId="0" fontId="2" fillId="0" borderId="0" xfId="71"/>
    <xf numFmtId="0" fontId="39" fillId="3" borderId="8" xfId="70"/>
    <xf numFmtId="9" fontId="24" fillId="0" borderId="0" xfId="72" applyFont="1" applyFill="1"/>
    <xf numFmtId="0" fontId="1" fillId="0" borderId="0" xfId="30" applyFont="1"/>
    <xf numFmtId="2" fontId="0" fillId="0" borderId="4" xfId="8" applyNumberFormat="1" applyFont="1" applyBorder="1"/>
    <xf numFmtId="171" fontId="24" fillId="2" borderId="4" xfId="8" applyNumberFormat="1" applyFont="1" applyFill="1" applyBorder="1"/>
    <xf numFmtId="0" fontId="45" fillId="32" borderId="8" xfId="20" applyFill="1"/>
    <xf numFmtId="0" fontId="54" fillId="32" borderId="0" xfId="25" applyFill="1" applyAlignment="1">
      <alignment horizontal="left" vertical="top"/>
    </xf>
    <xf numFmtId="171" fontId="45" fillId="5" borderId="59" xfId="20" applyNumberFormat="1" applyBorder="1"/>
    <xf numFmtId="171" fontId="45" fillId="33" borderId="4" xfId="20" applyNumberFormat="1" applyFill="1" applyBorder="1"/>
    <xf numFmtId="0" fontId="45" fillId="33" borderId="8" xfId="20" applyFill="1"/>
    <xf numFmtId="171" fontId="45" fillId="21" borderId="8" xfId="40" applyNumberFormat="1" applyFont="1" applyFill="1" applyBorder="1"/>
    <xf numFmtId="171" fontId="45" fillId="21" borderId="8" xfId="20" applyNumberFormat="1" applyFill="1"/>
    <xf numFmtId="171" fontId="45" fillId="21" borderId="58" xfId="20" applyNumberFormat="1" applyFill="1" applyBorder="1"/>
    <xf numFmtId="0" fontId="45" fillId="34" borderId="8" xfId="20" applyFill="1"/>
    <xf numFmtId="2" fontId="0" fillId="30" borderId="4" xfId="8" applyNumberFormat="1" applyFont="1" applyFill="1" applyBorder="1"/>
    <xf numFmtId="166" fontId="21" fillId="2" borderId="0" xfId="2" applyNumberFormat="1" applyFont="1" applyFill="1" applyAlignment="1">
      <alignment horizontal="center"/>
    </xf>
    <xf numFmtId="0" fontId="54" fillId="8" borderId="12" xfId="25" applyFill="1" applyBorder="1" applyAlignment="1">
      <alignment horizontal="left" vertical="top" wrapText="1"/>
    </xf>
    <xf numFmtId="0" fontId="54" fillId="8" borderId="11" xfId="25" applyFill="1" applyBorder="1" applyAlignment="1">
      <alignment horizontal="left" vertical="top" wrapText="1"/>
    </xf>
    <xf numFmtId="0" fontId="56" fillId="8" borderId="16" xfId="25" applyFont="1" applyFill="1" applyBorder="1" applyAlignment="1">
      <alignment horizontal="left" vertical="top" wrapText="1"/>
    </xf>
    <xf numFmtId="0" fontId="56" fillId="8" borderId="15" xfId="25" applyFont="1" applyFill="1" applyBorder="1" applyAlignment="1">
      <alignment horizontal="left" vertical="top" wrapText="1"/>
    </xf>
    <xf numFmtId="0" fontId="20" fillId="8" borderId="20" xfId="25" applyFont="1" applyFill="1" applyBorder="1" applyAlignment="1">
      <alignment horizontal="left" wrapText="1"/>
    </xf>
    <xf numFmtId="0" fontId="20" fillId="8" borderId="0" xfId="25" applyFont="1" applyFill="1" applyAlignment="1">
      <alignment horizontal="left" wrapText="1"/>
    </xf>
    <xf numFmtId="0" fontId="20" fillId="8" borderId="17" xfId="25" applyFont="1" applyFill="1" applyBorder="1" applyAlignment="1">
      <alignment horizontal="left" wrapText="1"/>
    </xf>
    <xf numFmtId="0" fontId="20" fillId="8" borderId="16" xfId="25" applyFont="1" applyFill="1" applyBorder="1" applyAlignment="1">
      <alignment horizontal="left" wrapText="1"/>
    </xf>
    <xf numFmtId="0" fontId="20" fillId="8" borderId="19" xfId="25" applyFont="1" applyFill="1" applyBorder="1" applyAlignment="1">
      <alignment horizontal="left" vertical="center" wrapText="1" indent="1"/>
    </xf>
    <xf numFmtId="0" fontId="20" fillId="8" borderId="15" xfId="25" applyFont="1" applyFill="1" applyBorder="1" applyAlignment="1">
      <alignment horizontal="left" vertical="center" wrapText="1" indent="1"/>
    </xf>
    <xf numFmtId="0" fontId="54" fillId="8" borderId="18" xfId="25" applyFill="1" applyBorder="1" applyAlignment="1">
      <alignment horizontal="center" vertical="top" wrapText="1"/>
    </xf>
    <xf numFmtId="0" fontId="54" fillId="8" borderId="14" xfId="25" applyFill="1" applyBorder="1" applyAlignment="1">
      <alignment horizontal="center" vertical="top" wrapText="1"/>
    </xf>
    <xf numFmtId="0" fontId="54" fillId="8" borderId="18" xfId="25" applyFill="1" applyBorder="1" applyAlignment="1">
      <alignment horizontal="left" vertical="top" wrapText="1"/>
    </xf>
    <xf numFmtId="0" fontId="54" fillId="8" borderId="14" xfId="25" applyFill="1" applyBorder="1" applyAlignment="1">
      <alignment horizontal="left" vertical="top" wrapText="1"/>
    </xf>
    <xf numFmtId="0" fontId="54" fillId="8" borderId="18" xfId="25" applyFill="1" applyBorder="1" applyAlignment="1">
      <alignment horizontal="left" vertical="top" wrapText="1" indent="1"/>
    </xf>
    <xf numFmtId="0" fontId="54" fillId="8" borderId="14" xfId="25" applyFill="1" applyBorder="1" applyAlignment="1">
      <alignment horizontal="left" vertical="top" wrapText="1" indent="1"/>
    </xf>
    <xf numFmtId="0" fontId="96" fillId="20" borderId="39" xfId="0" applyFont="1" applyFill="1" applyBorder="1" applyAlignment="1">
      <alignment horizontal="center" vertical="center" wrapText="1"/>
    </xf>
    <xf numFmtId="0" fontId="96" fillId="20" borderId="42" xfId="0" applyFont="1" applyFill="1" applyBorder="1" applyAlignment="1">
      <alignment horizontal="center" vertical="center" wrapText="1"/>
    </xf>
    <xf numFmtId="0" fontId="96" fillId="20" borderId="46" xfId="0" applyFont="1" applyFill="1" applyBorder="1" applyAlignment="1">
      <alignment horizontal="center" vertical="center" wrapText="1"/>
    </xf>
    <xf numFmtId="0" fontId="15" fillId="0" borderId="0" xfId="26" applyAlignment="1">
      <alignment horizontal="center"/>
    </xf>
  </cellXfs>
  <cellStyles count="73">
    <cellStyle name="20% - Accent5" xfId="48" builtinId="46"/>
    <cellStyle name="20% - Accent5 2" xfId="49" xr:uid="{1EDF45C9-2CD4-4851-9AE9-48EF337C88BA}"/>
    <cellStyle name="60% - Accent2 2" xfId="50" xr:uid="{A6300A6B-1C2A-446B-A06B-81FD7EE67C93}"/>
    <cellStyle name="Bad" xfId="18" builtinId="27"/>
    <cellStyle name="Calculation" xfId="70" builtinId="22"/>
    <cellStyle name="Calculation 2" xfId="36" xr:uid="{B4B279B1-BC4C-4578-ACFD-2D3522108CF6}"/>
    <cellStyle name="Comma" xfId="41" builtinId="3"/>
    <cellStyle name="Comma 2" xfId="7" xr:uid="{00000000-0005-0000-0000-000000000000}"/>
    <cellStyle name="Comma 2 2" xfId="15" xr:uid="{2D29F2AE-A72A-4F35-A2CA-2C4A01C4F113}"/>
    <cellStyle name="Comma 2 2 2" xfId="34" xr:uid="{3D2FAF94-37BE-4C39-AC8F-2F375325F51D}"/>
    <cellStyle name="Comma 2 3" xfId="6" xr:uid="{00000000-0005-0000-0000-000001000000}"/>
    <cellStyle name="Comma 2 4" xfId="33" xr:uid="{0630AC0A-37C6-471B-A3BC-E76D60FB2B40}"/>
    <cellStyle name="Comma 2 5" xfId="51" xr:uid="{BAF92580-30DF-402F-A186-6929033F1A5C}"/>
    <cellStyle name="Comma 3" xfId="16" xr:uid="{C170A3C1-B68E-4AAE-92F6-CE979AB71698}"/>
    <cellStyle name="Comma 3 2" xfId="31" xr:uid="{F356AEEA-FCE9-451F-AF3B-32F5693388AF}"/>
    <cellStyle name="Comma 4" xfId="47" xr:uid="{FD79690C-4CED-44D7-8CA2-EC4398742790}"/>
    <cellStyle name="Good" xfId="21" builtinId="26"/>
    <cellStyle name="Heading 1" xfId="69" builtinId="16"/>
    <cellStyle name="Heading 2" xfId="39" builtinId="17"/>
    <cellStyle name="Heading 4" xfId="68" builtinId="19"/>
    <cellStyle name="Hyperlink" xfId="19" builtinId="8"/>
    <cellStyle name="Hyperlink 2" xfId="11" xr:uid="{00000000-0005-0000-0000-000003000000}"/>
    <cellStyle name="Hyperlink 2 2" xfId="32" xr:uid="{90BC6485-F45B-42F0-B39C-66A2F907FAC8}"/>
    <cellStyle name="Hyperlink 2 2 2" xfId="38" xr:uid="{2A100852-8D24-4FD7-A1F9-DC5F4F62F85C}"/>
    <cellStyle name="Input" xfId="20" builtinId="20"/>
    <cellStyle name="Input 2" xfId="37" xr:uid="{EF0A91A4-9A39-44CB-94D1-B114505B1DE5}"/>
    <cellStyle name="Neutral" xfId="22" builtinId="28"/>
    <cellStyle name="Neutral 2" xfId="52" xr:uid="{DC57DDAE-4473-4669-A507-37393931DACD}"/>
    <cellStyle name="Normal" xfId="0" builtinId="0"/>
    <cellStyle name="Normal 10" xfId="53" xr:uid="{C58B76DC-DB0F-4EED-A7A8-3F29C5D034A5}"/>
    <cellStyle name="Normal 10 4" xfId="10" xr:uid="{00000000-0005-0000-0000-000005000000}"/>
    <cellStyle name="Normal 11" xfId="71" xr:uid="{6C6E3269-2182-42F4-8637-0FFFA4C01FDA}"/>
    <cellStyle name="Normal 12" xfId="25" xr:uid="{460C1291-C1C3-41A1-B0EA-130445C22A6A}"/>
    <cellStyle name="Normal 13" xfId="2" xr:uid="{00000000-0005-0000-0000-000006000000}"/>
    <cellStyle name="Normal 2" xfId="1" xr:uid="{00000000-0005-0000-0000-000007000000}"/>
    <cellStyle name="Normal 2 2" xfId="4" xr:uid="{00000000-0005-0000-0000-000008000000}"/>
    <cellStyle name="Normal 2 2 2" xfId="3" xr:uid="{00000000-0005-0000-0000-000009000000}"/>
    <cellStyle name="Normal 2 2 2 2" xfId="9" xr:uid="{00000000-0005-0000-0000-00000A000000}"/>
    <cellStyle name="Normal 2 2 3" xfId="23" xr:uid="{4DDA2815-89F9-4790-BF2B-C11F32499156}"/>
    <cellStyle name="Normal 2 3" xfId="14" xr:uid="{4AB230A0-E2D6-4984-83A4-4F34927A69CA}"/>
    <cellStyle name="Normal 2 3 2" xfId="35" xr:uid="{B56E12CC-6B4A-4A2B-9976-F2227F3C9D9F}"/>
    <cellStyle name="Normal 3" xfId="5" xr:uid="{00000000-0005-0000-0000-00000B000000}"/>
    <cellStyle name="Normal 3 2" xfId="24" xr:uid="{F1E66136-6D93-46C0-8FCF-8054B08EF18E}"/>
    <cellStyle name="Normal 4" xfId="12" xr:uid="{0BAD2C5B-36F5-4320-A9B9-F030A7823A07}"/>
    <cellStyle name="Normal 4 2" xfId="55" xr:uid="{9426509C-247C-4E44-A127-6B8A05A8A9A7}"/>
    <cellStyle name="Normal 4 3" xfId="30" xr:uid="{16BCBF55-3599-48AE-AF18-E9AA19168515}"/>
    <cellStyle name="Normal 4 4" xfId="54" xr:uid="{705685CD-4DEC-409C-BA53-9D0BE1320E1D}"/>
    <cellStyle name="Normal 5" xfId="27" xr:uid="{E86FCE4D-E8BD-408C-9B91-ED1609778DAD}"/>
    <cellStyle name="Normal 6" xfId="26" xr:uid="{96D31F59-9CBC-4F48-8E3C-934D53E8A773}"/>
    <cellStyle name="Normal 7" xfId="28" xr:uid="{F72C3799-2FCE-40EB-9CDA-C1206D98C783}"/>
    <cellStyle name="Normal 8" xfId="43" xr:uid="{ECA05CED-35A5-43D9-8E38-799969E1F38F}"/>
    <cellStyle name="Normal 8 2" xfId="56" xr:uid="{DCA61A0A-A680-4155-9F74-1EC344F052DA}"/>
    <cellStyle name="Normal 9" xfId="45" xr:uid="{DE34B9F9-3659-492D-9A5E-53B8EEA8BEE0}"/>
    <cellStyle name="Normal 9 2" xfId="57" xr:uid="{D21DBDA0-1233-4FB5-8445-0019D43E8CF0}"/>
    <cellStyle name="Normale_B2020" xfId="58" xr:uid="{00833C9B-BE55-4E24-9E0B-CCBA5E6139D3}"/>
    <cellStyle name="Percent" xfId="40" builtinId="5"/>
    <cellStyle name="Percent 2" xfId="13" xr:uid="{6FC4F8D8-ECD7-4A9E-B183-CAC9CE80278F}"/>
    <cellStyle name="Percent 2 2" xfId="17" xr:uid="{FFCF24A5-FA7A-4E91-8E3F-2BDE50B65C19}"/>
    <cellStyle name="Percent 2 3" xfId="29" xr:uid="{056A7CF9-08F3-46C7-9A85-3C2C5EFDAC60}"/>
    <cellStyle name="Percent 2 4" xfId="59" xr:uid="{2D511B30-95A8-465E-9E42-7863E51059C2}"/>
    <cellStyle name="Percent 3" xfId="8" xr:uid="{00000000-0005-0000-0000-000010000000}"/>
    <cellStyle name="Percent 3 2" xfId="60" xr:uid="{C43463FB-71C3-4FE7-BD87-DA39394C9D05}"/>
    <cellStyle name="Percent 3 3" xfId="61" xr:uid="{35EF5419-B6B5-4AF6-8689-4055F97B86DB}"/>
    <cellStyle name="Percent 4" xfId="44" xr:uid="{C43E8885-51BC-4201-8096-A16CB3CB72F1}"/>
    <cellStyle name="Percent 4 2" xfId="63" xr:uid="{F979AB09-BECB-45E1-8FF8-B80AB3852CBF}"/>
    <cellStyle name="Percent 4 3" xfId="64" xr:uid="{6760E248-DAFD-426B-920F-68A6FE745AA7}"/>
    <cellStyle name="Percent 4 4" xfId="62" xr:uid="{C55C6813-D456-4288-BAE6-5A30C642514D}"/>
    <cellStyle name="Percent 5" xfId="46" xr:uid="{32AC00F2-9AAB-4222-B48F-EA3797808505}"/>
    <cellStyle name="Percent 5 2" xfId="65" xr:uid="{05370530-1261-432E-A24C-68349931E873}"/>
    <cellStyle name="Percent 6" xfId="66" xr:uid="{1D308FC3-0BAD-4587-8D8C-496C4E66BC5F}"/>
    <cellStyle name="Percent 7" xfId="72" xr:uid="{A207115E-24C7-4535-98AC-308756E56275}"/>
    <cellStyle name="Standard_Sce_D_Extraction" xfId="67" xr:uid="{C5E5FE08-C8E9-491C-BE8A-22937CC8F86B}"/>
    <cellStyle name="Warning Text" xfId="42" builtinId="11"/>
  </cellStyles>
  <dxfs count="3">
    <dxf>
      <font>
        <color rgb="FF9C0006"/>
      </font>
      <fill>
        <patternFill>
          <bgColor rgb="FFFFC7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
      <tableStyleElement type="headerRow" dxfId="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3.xml"/><Relationship Id="rId66" Type="http://schemas.openxmlformats.org/officeDocument/2006/relationships/externalLink" Target="externalLinks/externalLink11.xml"/><Relationship Id="rId74" Type="http://schemas.openxmlformats.org/officeDocument/2006/relationships/theme" Target="theme/theme1.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77"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4.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7.xml"/><Relationship Id="rId70" Type="http://schemas.openxmlformats.org/officeDocument/2006/relationships/externalLink" Target="externalLinks/externalLink15.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16.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ProcDataRECostProfiles!$L$29</c:f>
          <c:strCache>
            <c:ptCount val="1"/>
            <c:pt idx="0">
              <c:v>Overnight PV Costs (2022 R/kWac)</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ProcDataRECostProfiles!$A$30</c:f>
              <c:strCache>
                <c:ptCount val="1"/>
                <c:pt idx="0">
                  <c:v>* This study (UNEP/NREL/Fraunhofer) - Conservative</c:v>
                </c:pt>
              </c:strCache>
            </c:strRef>
          </c:tx>
          <c:spPr>
            <a:ln w="19050" cap="rnd">
              <a:solidFill>
                <a:schemeClr val="accent2"/>
              </a:solidFill>
              <a:prstDash val="dash"/>
              <a:round/>
            </a:ln>
            <a:effectLst/>
          </c:spPr>
          <c:marker>
            <c:symbol val="none"/>
          </c:marker>
          <c:xVal>
            <c:numRef>
              <c:f>ProcDataRECostProfiles!$H$5:$L$5</c:f>
              <c:numCache>
                <c:formatCode>General</c:formatCode>
                <c:ptCount val="5"/>
                <c:pt idx="0">
                  <c:v>2020</c:v>
                </c:pt>
                <c:pt idx="1">
                  <c:v>2025</c:v>
                </c:pt>
                <c:pt idx="2">
                  <c:v>2030</c:v>
                </c:pt>
                <c:pt idx="3">
                  <c:v>2040</c:v>
                </c:pt>
                <c:pt idx="4">
                  <c:v>2050</c:v>
                </c:pt>
              </c:numCache>
            </c:numRef>
          </c:xVal>
          <c:yVal>
            <c:numRef>
              <c:f>ProcDataRECostProfiles!$H$30:$L$30</c:f>
              <c:numCache>
                <c:formatCode>#,##0</c:formatCode>
                <c:ptCount val="5"/>
                <c:pt idx="0">
                  <c:v>14722.225999999999</c:v>
                </c:pt>
                <c:pt idx="1">
                  <c:v>13819.573999999999</c:v>
                </c:pt>
                <c:pt idx="2">
                  <c:v>12983.003999999999</c:v>
                </c:pt>
                <c:pt idx="3">
                  <c:v>11533.418</c:v>
                </c:pt>
                <c:pt idx="4">
                  <c:v>10189.281999999999</c:v>
                </c:pt>
              </c:numCache>
            </c:numRef>
          </c:yVal>
          <c:smooth val="0"/>
          <c:extLst>
            <c:ext xmlns:c16="http://schemas.microsoft.com/office/drawing/2014/chart" uri="{C3380CC4-5D6E-409C-BE32-E72D297353CC}">
              <c16:uniqueId val="{00000000-6D39-40EA-9312-447531493687}"/>
            </c:ext>
          </c:extLst>
        </c:ser>
        <c:ser>
          <c:idx val="1"/>
          <c:order val="1"/>
          <c:tx>
            <c:strRef>
              <c:f>ProcDataRECostProfiles!$A$36</c:f>
              <c:strCache>
                <c:ptCount val="1"/>
                <c:pt idx="0">
                  <c:v>* NREL 2023-L</c:v>
                </c:pt>
              </c:strCache>
            </c:strRef>
          </c:tx>
          <c:spPr>
            <a:ln w="19050" cap="rnd">
              <a:solidFill>
                <a:schemeClr val="accent5"/>
              </a:solidFill>
              <a:prstDash val="solid"/>
              <a:round/>
            </a:ln>
            <a:effectLst/>
          </c:spPr>
          <c:marker>
            <c:symbol val="none"/>
          </c:marker>
          <c:xVal>
            <c:numRef>
              <c:f>ProcDataRECostProfiles!$H$5:$L$5</c:f>
              <c:numCache>
                <c:formatCode>General</c:formatCode>
                <c:ptCount val="5"/>
                <c:pt idx="0">
                  <c:v>2020</c:v>
                </c:pt>
                <c:pt idx="1">
                  <c:v>2025</c:v>
                </c:pt>
                <c:pt idx="2">
                  <c:v>2030</c:v>
                </c:pt>
                <c:pt idx="3">
                  <c:v>2040</c:v>
                </c:pt>
                <c:pt idx="4">
                  <c:v>2050</c:v>
                </c:pt>
              </c:numCache>
            </c:numRef>
          </c:xVal>
          <c:yVal>
            <c:numRef>
              <c:f>ProcDataRECostProfiles!$H$36:$L$36</c:f>
              <c:numCache>
                <c:formatCode>#,##0</c:formatCode>
                <c:ptCount val="5"/>
                <c:pt idx="0">
                  <c:v>22076.430743943867</c:v>
                </c:pt>
                <c:pt idx="1">
                  <c:v>20236.989576099302</c:v>
                </c:pt>
                <c:pt idx="2">
                  <c:v>15441.49946295446</c:v>
                </c:pt>
                <c:pt idx="3">
                  <c:v>10020.727144045391</c:v>
                </c:pt>
                <c:pt idx="4">
                  <c:v>8770.1627325169393</c:v>
                </c:pt>
              </c:numCache>
            </c:numRef>
          </c:yVal>
          <c:smooth val="0"/>
          <c:extLst>
            <c:ext xmlns:c16="http://schemas.microsoft.com/office/drawing/2014/chart" uri="{C3380CC4-5D6E-409C-BE32-E72D297353CC}">
              <c16:uniqueId val="{00000001-6D39-40EA-9312-447531493687}"/>
            </c:ext>
          </c:extLst>
        </c:ser>
        <c:ser>
          <c:idx val="2"/>
          <c:order val="2"/>
          <c:tx>
            <c:strRef>
              <c:f>ProcDataRECostProfiles!$A$32</c:f>
              <c:strCache>
                <c:ptCount val="1"/>
                <c:pt idx="0">
                  <c:v>* NBI w adj. for tracking</c:v>
                </c:pt>
              </c:strCache>
            </c:strRef>
          </c:tx>
          <c:spPr>
            <a:ln w="19050" cap="rnd">
              <a:solidFill>
                <a:schemeClr val="accent3"/>
              </a:solidFill>
              <a:round/>
            </a:ln>
            <a:effectLst/>
          </c:spPr>
          <c:marker>
            <c:symbol val="none"/>
          </c:marker>
          <c:xVal>
            <c:numRef>
              <c:f>ProcDataRECostProfiles!$H$5:$L$5</c:f>
              <c:numCache>
                <c:formatCode>General</c:formatCode>
                <c:ptCount val="5"/>
                <c:pt idx="0">
                  <c:v>2020</c:v>
                </c:pt>
                <c:pt idx="1">
                  <c:v>2025</c:v>
                </c:pt>
                <c:pt idx="2">
                  <c:v>2030</c:v>
                </c:pt>
                <c:pt idx="3">
                  <c:v>2040</c:v>
                </c:pt>
                <c:pt idx="4">
                  <c:v>2050</c:v>
                </c:pt>
              </c:numCache>
            </c:numRef>
          </c:xVal>
          <c:yVal>
            <c:numRef>
              <c:f>ProcDataRECostProfiles!$H$32:$L$32</c:f>
              <c:numCache>
                <c:formatCode>#,##0</c:formatCode>
                <c:ptCount val="5"/>
                <c:pt idx="0">
                  <c:v>14276.377358490567</c:v>
                </c:pt>
                <c:pt idx="1">
                  <c:v>11896.981132075472</c:v>
                </c:pt>
                <c:pt idx="2">
                  <c:v>10707.283018867925</c:v>
                </c:pt>
                <c:pt idx="3">
                  <c:v>7138.1886792452833</c:v>
                </c:pt>
                <c:pt idx="4">
                  <c:v>4877.7622641509433</c:v>
                </c:pt>
              </c:numCache>
            </c:numRef>
          </c:yVal>
          <c:smooth val="0"/>
          <c:extLst>
            <c:ext xmlns:c16="http://schemas.microsoft.com/office/drawing/2014/chart" uri="{C3380CC4-5D6E-409C-BE32-E72D297353CC}">
              <c16:uniqueId val="{00000002-6D39-40EA-9312-447531493687}"/>
            </c:ext>
          </c:extLst>
        </c:ser>
        <c:ser>
          <c:idx val="3"/>
          <c:order val="3"/>
          <c:tx>
            <c:strRef>
              <c:f>ProcDataRECostProfiles!$A$33</c:f>
              <c:strCache>
                <c:ptCount val="1"/>
                <c:pt idx="0">
                  <c:v>* Meridian 2020</c:v>
                </c:pt>
              </c:strCache>
            </c:strRef>
          </c:tx>
          <c:spPr>
            <a:ln w="19050" cap="rnd">
              <a:solidFill>
                <a:schemeClr val="accent4"/>
              </a:solidFill>
              <a:round/>
            </a:ln>
            <a:effectLst/>
          </c:spPr>
          <c:marker>
            <c:symbol val="none"/>
          </c:marker>
          <c:xVal>
            <c:numRef>
              <c:f>ProcDataRECostProfiles!$H$5:$L$5</c:f>
              <c:numCache>
                <c:formatCode>General</c:formatCode>
                <c:ptCount val="5"/>
                <c:pt idx="0">
                  <c:v>2020</c:v>
                </c:pt>
                <c:pt idx="1">
                  <c:v>2025</c:v>
                </c:pt>
                <c:pt idx="2">
                  <c:v>2030</c:v>
                </c:pt>
                <c:pt idx="3">
                  <c:v>2040</c:v>
                </c:pt>
                <c:pt idx="4">
                  <c:v>2050</c:v>
                </c:pt>
              </c:numCache>
            </c:numRef>
          </c:xVal>
          <c:yVal>
            <c:numRef>
              <c:f>ProcDataRECostProfiles!$H$33:$L$33</c:f>
              <c:numCache>
                <c:formatCode>#,##0</c:formatCode>
                <c:ptCount val="5"/>
                <c:pt idx="0">
                  <c:v>10653.650203645851</c:v>
                </c:pt>
                <c:pt idx="1">
                  <c:v>10491.688876586657</c:v>
                </c:pt>
                <c:pt idx="2">
                  <c:v>10329.727549527461</c:v>
                </c:pt>
                <c:pt idx="3">
                  <c:v>9197.7444738819231</c:v>
                </c:pt>
                <c:pt idx="4">
                  <c:v>8065.7613982363864</c:v>
                </c:pt>
              </c:numCache>
            </c:numRef>
          </c:yVal>
          <c:smooth val="0"/>
          <c:extLst>
            <c:ext xmlns:c16="http://schemas.microsoft.com/office/drawing/2014/chart" uri="{C3380CC4-5D6E-409C-BE32-E72D297353CC}">
              <c16:uniqueId val="{00000003-6D39-40EA-9312-447531493687}"/>
            </c:ext>
          </c:extLst>
        </c:ser>
        <c:ser>
          <c:idx val="7"/>
          <c:order val="4"/>
          <c:tx>
            <c:strRef>
              <c:f>ProcDataRECostProfiles!$A$37</c:f>
              <c:strCache>
                <c:ptCount val="1"/>
                <c:pt idx="0">
                  <c:v>* Lazzard 2020-H</c:v>
                </c:pt>
              </c:strCache>
            </c:strRef>
          </c:tx>
          <c:spPr>
            <a:ln w="19050" cap="rnd">
              <a:solidFill>
                <a:schemeClr val="accent2">
                  <a:lumMod val="60000"/>
                </a:schemeClr>
              </a:solidFill>
              <a:round/>
            </a:ln>
            <a:effectLst/>
          </c:spPr>
          <c:marker>
            <c:symbol val="none"/>
          </c:marker>
          <c:xVal>
            <c:numRef>
              <c:f>ProcDataRECostProfiles!$H$5:$L$5</c:f>
              <c:numCache>
                <c:formatCode>General</c:formatCode>
                <c:ptCount val="5"/>
                <c:pt idx="0">
                  <c:v>2020</c:v>
                </c:pt>
                <c:pt idx="1">
                  <c:v>2025</c:v>
                </c:pt>
                <c:pt idx="2">
                  <c:v>2030</c:v>
                </c:pt>
                <c:pt idx="3">
                  <c:v>2040</c:v>
                </c:pt>
                <c:pt idx="4">
                  <c:v>2050</c:v>
                </c:pt>
              </c:numCache>
            </c:numRef>
          </c:xVal>
          <c:yVal>
            <c:numRef>
              <c:f>ProcDataRECostProfiles!$H$37:$L$37</c:f>
              <c:numCache>
                <c:formatCode>#,##0</c:formatCode>
                <c:ptCount val="5"/>
                <c:pt idx="0">
                  <c:v>19897.02</c:v>
                </c:pt>
              </c:numCache>
            </c:numRef>
          </c:yVal>
          <c:smooth val="0"/>
          <c:extLst>
            <c:ext xmlns:c16="http://schemas.microsoft.com/office/drawing/2014/chart" uri="{C3380CC4-5D6E-409C-BE32-E72D297353CC}">
              <c16:uniqueId val="{00000008-6D39-40EA-9312-447531493687}"/>
            </c:ext>
          </c:extLst>
        </c:ser>
        <c:ser>
          <c:idx val="8"/>
          <c:order val="5"/>
          <c:tx>
            <c:strRef>
              <c:f>ProcDataRECostProfiles!$A$38</c:f>
              <c:strCache>
                <c:ptCount val="1"/>
                <c:pt idx="0">
                  <c:v>* Lazzard 2020-L</c:v>
                </c:pt>
              </c:strCache>
            </c:strRef>
          </c:tx>
          <c:spPr>
            <a:ln w="19050" cap="rnd">
              <a:solidFill>
                <a:schemeClr val="accent3">
                  <a:lumMod val="60000"/>
                </a:schemeClr>
              </a:solidFill>
              <a:round/>
            </a:ln>
            <a:effectLst/>
          </c:spPr>
          <c:marker>
            <c:symbol val="none"/>
          </c:marker>
          <c:xVal>
            <c:numRef>
              <c:f>ProcDataRECostProfiles!$H$5:$L$5</c:f>
              <c:numCache>
                <c:formatCode>General</c:formatCode>
                <c:ptCount val="5"/>
                <c:pt idx="0">
                  <c:v>2020</c:v>
                </c:pt>
                <c:pt idx="1">
                  <c:v>2025</c:v>
                </c:pt>
                <c:pt idx="2">
                  <c:v>2030</c:v>
                </c:pt>
                <c:pt idx="3">
                  <c:v>2040</c:v>
                </c:pt>
                <c:pt idx="4">
                  <c:v>2050</c:v>
                </c:pt>
              </c:numCache>
            </c:numRef>
          </c:xVal>
          <c:yVal>
            <c:numRef>
              <c:f>ProcDataRECostProfiles!$H$38:$L$38</c:f>
              <c:numCache>
                <c:formatCode>#,##0</c:formatCode>
                <c:ptCount val="5"/>
                <c:pt idx="0">
                  <c:v>16835.940000000002</c:v>
                </c:pt>
              </c:numCache>
            </c:numRef>
          </c:yVal>
          <c:smooth val="0"/>
          <c:extLst>
            <c:ext xmlns:c16="http://schemas.microsoft.com/office/drawing/2014/chart" uri="{C3380CC4-5D6E-409C-BE32-E72D297353CC}">
              <c16:uniqueId val="{00000009-6D39-40EA-9312-447531493687}"/>
            </c:ext>
          </c:extLst>
        </c:ser>
        <c:ser>
          <c:idx val="11"/>
          <c:order val="6"/>
          <c:tx>
            <c:strRef>
              <c:f>ProcDataRECostProfiles!$A$37</c:f>
              <c:strCache>
                <c:ptCount val="1"/>
                <c:pt idx="0">
                  <c:v>* Lazzard 2020-H</c:v>
                </c:pt>
              </c:strCache>
            </c:strRef>
          </c:tx>
          <c:spPr>
            <a:ln w="25400" cap="rnd">
              <a:noFill/>
              <a:round/>
            </a:ln>
            <a:effectLst/>
          </c:spPr>
          <c:marker>
            <c:symbol val="circle"/>
            <c:size val="5"/>
            <c:spPr>
              <a:solidFill>
                <a:schemeClr val="accent1"/>
              </a:solidFill>
              <a:ln w="9525">
                <a:solidFill>
                  <a:schemeClr val="accent1"/>
                </a:solidFill>
              </a:ln>
              <a:effectLst/>
            </c:spPr>
          </c:marker>
          <c:xVal>
            <c:numRef>
              <c:f>ProcDataRECostProfiles!$H$5</c:f>
              <c:numCache>
                <c:formatCode>General</c:formatCode>
                <c:ptCount val="1"/>
                <c:pt idx="0">
                  <c:v>2020</c:v>
                </c:pt>
              </c:numCache>
            </c:numRef>
          </c:xVal>
          <c:yVal>
            <c:numRef>
              <c:f>ProcDataRECostProfiles!$H$37</c:f>
              <c:numCache>
                <c:formatCode>#,##0</c:formatCode>
                <c:ptCount val="1"/>
                <c:pt idx="0">
                  <c:v>19897.02</c:v>
                </c:pt>
              </c:numCache>
            </c:numRef>
          </c:yVal>
          <c:smooth val="0"/>
          <c:extLst>
            <c:ext xmlns:c16="http://schemas.microsoft.com/office/drawing/2014/chart" uri="{C3380CC4-5D6E-409C-BE32-E72D297353CC}">
              <c16:uniqueId val="{00000001-9570-41A8-8FDE-662FA47F1334}"/>
            </c:ext>
          </c:extLst>
        </c:ser>
        <c:ser>
          <c:idx val="12"/>
          <c:order val="7"/>
          <c:tx>
            <c:strRef>
              <c:f>ProcDataRECostProfiles!$A$38</c:f>
              <c:strCache>
                <c:ptCount val="1"/>
                <c:pt idx="0">
                  <c:v>* Lazzard 2020-L</c:v>
                </c:pt>
              </c:strCache>
            </c:strRef>
          </c:tx>
          <c:spPr>
            <a:ln w="25400" cap="rnd">
              <a:noFill/>
              <a:round/>
            </a:ln>
            <a:effectLst/>
          </c:spPr>
          <c:marker>
            <c:symbol val="circle"/>
            <c:size val="5"/>
            <c:spPr>
              <a:solidFill>
                <a:schemeClr val="accent1"/>
              </a:solidFill>
              <a:ln w="9525">
                <a:solidFill>
                  <a:schemeClr val="accent1">
                    <a:lumMod val="80000"/>
                    <a:lumOff val="20000"/>
                  </a:schemeClr>
                </a:solidFill>
              </a:ln>
              <a:effectLst/>
            </c:spPr>
          </c:marker>
          <c:xVal>
            <c:numRef>
              <c:f>ProcDataRECostProfiles!$H$5</c:f>
              <c:numCache>
                <c:formatCode>General</c:formatCode>
                <c:ptCount val="1"/>
                <c:pt idx="0">
                  <c:v>2020</c:v>
                </c:pt>
              </c:numCache>
            </c:numRef>
          </c:xVal>
          <c:yVal>
            <c:numRef>
              <c:f>ProcDataRECostProfiles!$H$38</c:f>
              <c:numCache>
                <c:formatCode>#,##0</c:formatCode>
                <c:ptCount val="1"/>
                <c:pt idx="0">
                  <c:v>16835.940000000002</c:v>
                </c:pt>
              </c:numCache>
            </c:numRef>
          </c:yVal>
          <c:smooth val="0"/>
          <c:extLst>
            <c:ext xmlns:c16="http://schemas.microsoft.com/office/drawing/2014/chart" uri="{C3380CC4-5D6E-409C-BE32-E72D297353CC}">
              <c16:uniqueId val="{00000002-9570-41A8-8FDE-662FA47F1334}"/>
            </c:ext>
          </c:extLst>
        </c:ser>
        <c:ser>
          <c:idx val="13"/>
          <c:order val="8"/>
          <c:tx>
            <c:strRef>
              <c:f>ProcDataRECostProfiles!$A$39</c:f>
              <c:strCache>
                <c:ptCount val="1"/>
                <c:pt idx="0">
                  <c:v>* WoodMac 2020</c:v>
                </c:pt>
              </c:strCache>
            </c:strRef>
          </c:tx>
          <c:spPr>
            <a:ln w="2540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numRef>
              <c:f>ProcDataRECostProfiles!$H$5</c:f>
              <c:numCache>
                <c:formatCode>General</c:formatCode>
                <c:ptCount val="1"/>
                <c:pt idx="0">
                  <c:v>2020</c:v>
                </c:pt>
              </c:numCache>
            </c:numRef>
          </c:xVal>
          <c:yVal>
            <c:numRef>
              <c:f>ProcDataRECostProfiles!$H$39</c:f>
              <c:numCache>
                <c:formatCode>#,##0</c:formatCode>
                <c:ptCount val="1"/>
                <c:pt idx="0">
                  <c:v>20258.784</c:v>
                </c:pt>
              </c:numCache>
            </c:numRef>
          </c:yVal>
          <c:smooth val="0"/>
          <c:extLst>
            <c:ext xmlns:c16="http://schemas.microsoft.com/office/drawing/2014/chart" uri="{C3380CC4-5D6E-409C-BE32-E72D297353CC}">
              <c16:uniqueId val="{00000003-9570-41A8-8FDE-662FA47F1334}"/>
            </c:ext>
          </c:extLst>
        </c:ser>
        <c:dLbls>
          <c:showLegendKey val="0"/>
          <c:showVal val="0"/>
          <c:showCatName val="0"/>
          <c:showSerName val="0"/>
          <c:showPercent val="0"/>
          <c:showBubbleSize val="0"/>
        </c:dLbls>
        <c:axId val="2032762208"/>
        <c:axId val="2032779680"/>
      </c:scatterChart>
      <c:valAx>
        <c:axId val="2032762208"/>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79680"/>
        <c:crosses val="autoZero"/>
        <c:crossBetween val="midCat"/>
      </c:valAx>
      <c:valAx>
        <c:axId val="2032779680"/>
        <c:scaling>
          <c:orientation val="minMax"/>
          <c:max val="23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2762208"/>
        <c:crosses val="autoZero"/>
        <c:crossBetween val="midCat"/>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2050 R/kW as % of 2020 R/kW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ProcDataRECostProfiles!$A$30:$A$36</c:f>
              <c:strCache>
                <c:ptCount val="7"/>
                <c:pt idx="0">
                  <c:v>* This study (UNEP/NREL/Fraunhofer) - Conservative</c:v>
                </c:pt>
                <c:pt idx="1">
                  <c:v>* This Study (UNEP/NREL/Fraunhofer) - Optimistic</c:v>
                </c:pt>
                <c:pt idx="2">
                  <c:v>* NBI w adj. for tracking</c:v>
                </c:pt>
                <c:pt idx="3">
                  <c:v>* Meridian 2020</c:v>
                </c:pt>
                <c:pt idx="4">
                  <c:v>* NREL 2023-H</c:v>
                </c:pt>
                <c:pt idx="5">
                  <c:v>* NREL 2023-M</c:v>
                </c:pt>
                <c:pt idx="6">
                  <c:v>* NREL 2023-L</c:v>
                </c:pt>
              </c:strCache>
            </c:strRef>
          </c:cat>
          <c:val>
            <c:numRef>
              <c:f>ProcDataRECostProfiles!$M$30:$M$36</c:f>
              <c:numCache>
                <c:formatCode>0%</c:formatCode>
                <c:ptCount val="7"/>
                <c:pt idx="0">
                  <c:v>0.69210199598892175</c:v>
                </c:pt>
                <c:pt idx="1">
                  <c:v>0.55966534566270365</c:v>
                </c:pt>
                <c:pt idx="2">
                  <c:v>0.34166666666666667</c:v>
                </c:pt>
                <c:pt idx="3">
                  <c:v>0.75708900180298322</c:v>
                </c:pt>
                <c:pt idx="4">
                  <c:v>0.61007366264542562</c:v>
                </c:pt>
                <c:pt idx="5">
                  <c:v>0.47488693066935461</c:v>
                </c:pt>
                <c:pt idx="6">
                  <c:v>0.39726361721415587</c:v>
                </c:pt>
              </c:numCache>
            </c:numRef>
          </c:val>
          <c:extLst>
            <c:ext xmlns:c16="http://schemas.microsoft.com/office/drawing/2014/chart" uri="{C3380CC4-5D6E-409C-BE32-E72D297353CC}">
              <c16:uniqueId val="{00000000-F2C6-45D5-B1A1-73D51415379C}"/>
            </c:ext>
          </c:extLst>
        </c:ser>
        <c:dLbls>
          <c:showLegendKey val="0"/>
          <c:showVal val="0"/>
          <c:showCatName val="0"/>
          <c:showSerName val="0"/>
          <c:showPercent val="0"/>
          <c:showBubbleSize val="0"/>
        </c:dLbls>
        <c:gapWidth val="219"/>
        <c:overlap val="-27"/>
        <c:axId val="2049533311"/>
        <c:axId val="2049532479"/>
      </c:barChart>
      <c:catAx>
        <c:axId val="204953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2479"/>
        <c:crosses val="autoZero"/>
        <c:auto val="1"/>
        <c:lblAlgn val="ctr"/>
        <c:lblOffset val="100"/>
        <c:noMultiLvlLbl val="0"/>
      </c:catAx>
      <c:valAx>
        <c:axId val="2049532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53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ProcDataRECostProfiles!$L$48</c:f>
          <c:strCache>
            <c:ptCount val="1"/>
            <c:pt idx="0">
              <c:v>Overnight Wind Costs (2022 R/kW)</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ProcDataRECostProfiles!$A$49</c:f>
              <c:strCache>
                <c:ptCount val="1"/>
                <c:pt idx="0">
                  <c:v>* This study (UNEP/NREL/Fraunhofer) - Conservative</c:v>
                </c:pt>
              </c:strCache>
            </c:strRef>
          </c:tx>
          <c:spPr>
            <a:ln w="22225" cap="rnd">
              <a:solidFill>
                <a:schemeClr val="accent2"/>
              </a:solidFill>
              <a:prstDash val="dash"/>
              <a:round/>
            </a:ln>
            <a:effectLst/>
          </c:spPr>
          <c:marker>
            <c:symbol val="none"/>
          </c:marker>
          <c:cat>
            <c:numRef>
              <c:f>ProcDataRECostProfiles!$H$5:$L$5</c:f>
              <c:numCache>
                <c:formatCode>General</c:formatCode>
                <c:ptCount val="5"/>
                <c:pt idx="0">
                  <c:v>2020</c:v>
                </c:pt>
                <c:pt idx="1">
                  <c:v>2025</c:v>
                </c:pt>
                <c:pt idx="2">
                  <c:v>2030</c:v>
                </c:pt>
                <c:pt idx="3">
                  <c:v>2040</c:v>
                </c:pt>
                <c:pt idx="4">
                  <c:v>2050</c:v>
                </c:pt>
              </c:numCache>
            </c:numRef>
          </c:cat>
          <c:val>
            <c:numRef>
              <c:f>ProcDataRECostProfiles!$H$49:$L$49</c:f>
              <c:numCache>
                <c:formatCode>#,##0</c:formatCode>
                <c:ptCount val="5"/>
                <c:pt idx="0">
                  <c:v>17575</c:v>
                </c:pt>
                <c:pt idx="1">
                  <c:v>17421.745999999999</c:v>
                </c:pt>
                <c:pt idx="2">
                  <c:v>17269.897999999997</c:v>
                </c:pt>
                <c:pt idx="3">
                  <c:v>16969.013999999999</c:v>
                </c:pt>
                <c:pt idx="4">
                  <c:v>16673.754000000001</c:v>
                </c:pt>
              </c:numCache>
            </c:numRef>
          </c:val>
          <c:smooth val="0"/>
          <c:extLst>
            <c:ext xmlns:c16="http://schemas.microsoft.com/office/drawing/2014/chart" uri="{C3380CC4-5D6E-409C-BE32-E72D297353CC}">
              <c16:uniqueId val="{00000000-50BE-4284-98B9-8D913D741B2B}"/>
            </c:ext>
          </c:extLst>
        </c:ser>
        <c:ser>
          <c:idx val="1"/>
          <c:order val="1"/>
          <c:tx>
            <c:strRef>
              <c:f>ProcDataRECostProfiles!$A$50</c:f>
              <c:strCache>
                <c:ptCount val="1"/>
                <c:pt idx="0">
                  <c:v>* This Study (UNEP/NREL/Fraunhofer) - Optimistic</c:v>
                </c:pt>
              </c:strCache>
            </c:strRef>
          </c:tx>
          <c:spPr>
            <a:ln w="22225" cap="rnd">
              <a:solidFill>
                <a:schemeClr val="accent2"/>
              </a:solidFill>
              <a:prstDash val="dash"/>
              <a:round/>
            </a:ln>
            <a:effectLst/>
          </c:spPr>
          <c:marker>
            <c:symbol val="none"/>
          </c:marker>
          <c:cat>
            <c:numRef>
              <c:f>ProcDataRECostProfiles!$H$5:$L$5</c:f>
              <c:numCache>
                <c:formatCode>General</c:formatCode>
                <c:ptCount val="5"/>
                <c:pt idx="0">
                  <c:v>2020</c:v>
                </c:pt>
                <c:pt idx="1">
                  <c:v>2025</c:v>
                </c:pt>
                <c:pt idx="2">
                  <c:v>2030</c:v>
                </c:pt>
                <c:pt idx="3">
                  <c:v>2040</c:v>
                </c:pt>
                <c:pt idx="4">
                  <c:v>2050</c:v>
                </c:pt>
              </c:numCache>
            </c:numRef>
          </c:cat>
          <c:val>
            <c:numRef>
              <c:f>ProcDataRECostProfiles!$H$50:$L$50</c:f>
              <c:numCache>
                <c:formatCode>#,##0</c:formatCode>
                <c:ptCount val="5"/>
                <c:pt idx="0">
                  <c:v>17575</c:v>
                </c:pt>
                <c:pt idx="1">
                  <c:v>17032.284</c:v>
                </c:pt>
                <c:pt idx="2">
                  <c:v>16506.439999999999</c:v>
                </c:pt>
                <c:pt idx="3">
                  <c:v>15502.555999999999</c:v>
                </c:pt>
                <c:pt idx="4">
                  <c:v>14559.13</c:v>
                </c:pt>
              </c:numCache>
            </c:numRef>
          </c:val>
          <c:smooth val="0"/>
          <c:extLst>
            <c:ext xmlns:c16="http://schemas.microsoft.com/office/drawing/2014/chart" uri="{C3380CC4-5D6E-409C-BE32-E72D297353CC}">
              <c16:uniqueId val="{00000001-50BE-4284-98B9-8D913D741B2B}"/>
            </c:ext>
          </c:extLst>
        </c:ser>
        <c:ser>
          <c:idx val="2"/>
          <c:order val="2"/>
          <c:tx>
            <c:strRef>
              <c:f>ProcDataRECostProfiles!$A$51</c:f>
              <c:strCache>
                <c:ptCount val="1"/>
                <c:pt idx="0">
                  <c:v>* NBI</c:v>
                </c:pt>
              </c:strCache>
            </c:strRef>
          </c:tx>
          <c:spPr>
            <a:ln w="28575" cap="rnd">
              <a:solidFill>
                <a:schemeClr val="accent3"/>
              </a:solidFill>
              <a:round/>
            </a:ln>
            <a:effectLst/>
          </c:spPr>
          <c:marker>
            <c:symbol val="none"/>
          </c:marker>
          <c:cat>
            <c:numRef>
              <c:f>ProcDataRECostProfiles!$H$5:$L$5</c:f>
              <c:numCache>
                <c:formatCode>General</c:formatCode>
                <c:ptCount val="5"/>
                <c:pt idx="0">
                  <c:v>2020</c:v>
                </c:pt>
                <c:pt idx="1">
                  <c:v>2025</c:v>
                </c:pt>
                <c:pt idx="2">
                  <c:v>2030</c:v>
                </c:pt>
                <c:pt idx="3">
                  <c:v>2040</c:v>
                </c:pt>
                <c:pt idx="4">
                  <c:v>2050</c:v>
                </c:pt>
              </c:numCache>
            </c:numRef>
          </c:cat>
          <c:val>
            <c:numRef>
              <c:f>ProcDataRECostProfiles!$H$51:$L$51</c:f>
              <c:numCache>
                <c:formatCode>#,##0</c:formatCode>
                <c:ptCount val="5"/>
                <c:pt idx="0">
                  <c:v>27900.000000000004</c:v>
                </c:pt>
                <c:pt idx="1">
                  <c:v>24552.000000000004</c:v>
                </c:pt>
                <c:pt idx="2">
                  <c:v>22320.000000000004</c:v>
                </c:pt>
                <c:pt idx="3">
                  <c:v>20088.000000000004</c:v>
                </c:pt>
                <c:pt idx="4">
                  <c:v>18972</c:v>
                </c:pt>
              </c:numCache>
            </c:numRef>
          </c:val>
          <c:smooth val="0"/>
          <c:extLst>
            <c:ext xmlns:c16="http://schemas.microsoft.com/office/drawing/2014/chart" uri="{C3380CC4-5D6E-409C-BE32-E72D297353CC}">
              <c16:uniqueId val="{00000002-50BE-4284-98B9-8D913D741B2B}"/>
            </c:ext>
          </c:extLst>
        </c:ser>
        <c:ser>
          <c:idx val="3"/>
          <c:order val="3"/>
          <c:tx>
            <c:strRef>
              <c:f>ProcDataRECostProfiles!$A$52</c:f>
              <c:strCache>
                <c:ptCount val="1"/>
                <c:pt idx="0">
                  <c:v>* Meridian 2020</c:v>
                </c:pt>
              </c:strCache>
            </c:strRef>
          </c:tx>
          <c:spPr>
            <a:ln w="28575" cap="rnd">
              <a:solidFill>
                <a:schemeClr val="accent4"/>
              </a:solidFill>
              <a:round/>
            </a:ln>
            <a:effectLst/>
          </c:spPr>
          <c:marker>
            <c:symbol val="none"/>
          </c:marker>
          <c:cat>
            <c:numRef>
              <c:f>ProcDataRECostProfiles!$H$5:$L$5</c:f>
              <c:numCache>
                <c:formatCode>General</c:formatCode>
                <c:ptCount val="5"/>
                <c:pt idx="0">
                  <c:v>2020</c:v>
                </c:pt>
                <c:pt idx="1">
                  <c:v>2025</c:v>
                </c:pt>
                <c:pt idx="2">
                  <c:v>2030</c:v>
                </c:pt>
                <c:pt idx="3">
                  <c:v>2040</c:v>
                </c:pt>
                <c:pt idx="4">
                  <c:v>2050</c:v>
                </c:pt>
              </c:numCache>
            </c:numRef>
          </c:cat>
          <c:val>
            <c:numRef>
              <c:f>ProcDataRECostProfiles!$H$52:$L$52</c:f>
              <c:numCache>
                <c:formatCode>#,##0</c:formatCode>
                <c:ptCount val="5"/>
                <c:pt idx="0">
                  <c:v>12792.762070465418</c:v>
                </c:pt>
                <c:pt idx="1">
                  <c:v>11095.442287160424</c:v>
                </c:pt>
                <c:pt idx="2">
                  <c:v>11095.442287160424</c:v>
                </c:pt>
                <c:pt idx="3">
                  <c:v>11095.442287160424</c:v>
                </c:pt>
                <c:pt idx="4">
                  <c:v>11095.442287160424</c:v>
                </c:pt>
              </c:numCache>
            </c:numRef>
          </c:val>
          <c:smooth val="0"/>
          <c:extLst>
            <c:ext xmlns:c16="http://schemas.microsoft.com/office/drawing/2014/chart" uri="{C3380CC4-5D6E-409C-BE32-E72D297353CC}">
              <c16:uniqueId val="{00000003-50BE-4284-98B9-8D913D741B2B}"/>
            </c:ext>
          </c:extLst>
        </c:ser>
        <c:dLbls>
          <c:showLegendKey val="0"/>
          <c:showVal val="0"/>
          <c:showCatName val="0"/>
          <c:showSerName val="0"/>
          <c:showPercent val="0"/>
          <c:showBubbleSize val="0"/>
        </c:dLbls>
        <c:smooth val="0"/>
        <c:axId val="1780225791"/>
        <c:axId val="1780226623"/>
      </c:lineChart>
      <c:dateAx>
        <c:axId val="178022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6623"/>
        <c:crosses val="autoZero"/>
        <c:auto val="0"/>
        <c:lblOffset val="100"/>
        <c:baseTimeUnit val="days"/>
      </c:dateAx>
      <c:valAx>
        <c:axId val="1780226623"/>
        <c:scaling>
          <c:orientation val="minMax"/>
          <c:max val="2500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225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Projected Rooftop</a:t>
            </a:r>
            <a:r>
              <a:rPr lang="en-ZA" baseline="0"/>
              <a:t> PV Installed Capacity</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OnsitePV!$C$7</c:f>
              <c:strCache>
                <c:ptCount val="1"/>
                <c:pt idx="0">
                  <c:v>Reference</c:v>
                </c:pt>
              </c:strCache>
            </c:strRef>
          </c:tx>
          <c:spPr>
            <a:ln w="28575" cap="rnd">
              <a:solidFill>
                <a:schemeClr val="accent1"/>
              </a:solidFill>
              <a:round/>
            </a:ln>
            <a:effectLst/>
          </c:spPr>
          <c:marker>
            <c:symbol val="none"/>
          </c:marker>
          <c:cat>
            <c:numRef>
              <c:f>OnsitePV!$D$6:$S$6</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OnsitePV!$D$7:$S$7</c:f>
              <c:numCache>
                <c:formatCode>General</c:formatCode>
                <c:ptCount val="16"/>
                <c:pt idx="0">
                  <c:v>154</c:v>
                </c:pt>
                <c:pt idx="1">
                  <c:v>250</c:v>
                </c:pt>
                <c:pt idx="2">
                  <c:v>384</c:v>
                </c:pt>
                <c:pt idx="3">
                  <c:v>584</c:v>
                </c:pt>
                <c:pt idx="4">
                  <c:v>884</c:v>
                </c:pt>
                <c:pt idx="5">
                  <c:v>1234</c:v>
                </c:pt>
                <c:pt idx="6">
                  <c:v>1634</c:v>
                </c:pt>
                <c:pt idx="7">
                  <c:v>2300</c:v>
                </c:pt>
                <c:pt idx="8">
                  <c:v>3050</c:v>
                </c:pt>
                <c:pt idx="9">
                  <c:v>3716</c:v>
                </c:pt>
                <c:pt idx="10">
                  <c:v>4216</c:v>
                </c:pt>
                <c:pt idx="11">
                  <c:v>4716</c:v>
                </c:pt>
                <c:pt idx="12">
                  <c:v>5216</c:v>
                </c:pt>
                <c:pt idx="13">
                  <c:v>5716</c:v>
                </c:pt>
                <c:pt idx="14">
                  <c:v>6216</c:v>
                </c:pt>
                <c:pt idx="15">
                  <c:v>6716</c:v>
                </c:pt>
              </c:numCache>
            </c:numRef>
          </c:val>
          <c:smooth val="0"/>
          <c:extLst>
            <c:ext xmlns:c16="http://schemas.microsoft.com/office/drawing/2014/chart" uri="{C3380CC4-5D6E-409C-BE32-E72D297353CC}">
              <c16:uniqueId val="{00000000-B16E-4B1F-B9E8-FE28ED282E3C}"/>
            </c:ext>
          </c:extLst>
        </c:ser>
        <c:ser>
          <c:idx val="1"/>
          <c:order val="1"/>
          <c:tx>
            <c:strRef>
              <c:f>OnsitePV!$C$8</c:f>
              <c:strCache>
                <c:ptCount val="1"/>
                <c:pt idx="0">
                  <c:v>Low</c:v>
                </c:pt>
              </c:strCache>
            </c:strRef>
          </c:tx>
          <c:spPr>
            <a:ln w="28575" cap="rnd">
              <a:solidFill>
                <a:schemeClr val="accent2"/>
              </a:solidFill>
              <a:round/>
            </a:ln>
            <a:effectLst/>
          </c:spPr>
          <c:marker>
            <c:symbol val="none"/>
          </c:marker>
          <c:cat>
            <c:numRef>
              <c:f>OnsitePV!$D$6:$S$6</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OnsitePV!$D$8:$S$8</c:f>
              <c:numCache>
                <c:formatCode>General</c:formatCode>
                <c:ptCount val="16"/>
                <c:pt idx="0">
                  <c:v>154</c:v>
                </c:pt>
                <c:pt idx="1">
                  <c:v>250</c:v>
                </c:pt>
                <c:pt idx="2">
                  <c:v>384</c:v>
                </c:pt>
                <c:pt idx="3">
                  <c:v>584</c:v>
                </c:pt>
                <c:pt idx="4">
                  <c:v>884</c:v>
                </c:pt>
                <c:pt idx="5">
                  <c:v>1234</c:v>
                </c:pt>
                <c:pt idx="6">
                  <c:v>1634</c:v>
                </c:pt>
                <c:pt idx="7">
                  <c:v>2300</c:v>
                </c:pt>
                <c:pt idx="8">
                  <c:v>3050</c:v>
                </c:pt>
                <c:pt idx="9">
                  <c:v>3550</c:v>
                </c:pt>
                <c:pt idx="10">
                  <c:v>3950</c:v>
                </c:pt>
                <c:pt idx="11">
                  <c:v>4350</c:v>
                </c:pt>
                <c:pt idx="12">
                  <c:v>4750</c:v>
                </c:pt>
                <c:pt idx="13">
                  <c:v>5150</c:v>
                </c:pt>
                <c:pt idx="14">
                  <c:v>5550</c:v>
                </c:pt>
                <c:pt idx="15">
                  <c:v>5950</c:v>
                </c:pt>
              </c:numCache>
            </c:numRef>
          </c:val>
          <c:smooth val="0"/>
          <c:extLst>
            <c:ext xmlns:c16="http://schemas.microsoft.com/office/drawing/2014/chart" uri="{C3380CC4-5D6E-409C-BE32-E72D297353CC}">
              <c16:uniqueId val="{00000001-B16E-4B1F-B9E8-FE28ED282E3C}"/>
            </c:ext>
          </c:extLst>
        </c:ser>
        <c:ser>
          <c:idx val="2"/>
          <c:order val="2"/>
          <c:tx>
            <c:strRef>
              <c:f>OnsitePV!$C$9</c:f>
              <c:strCache>
                <c:ptCount val="1"/>
                <c:pt idx="0">
                  <c:v>High</c:v>
                </c:pt>
              </c:strCache>
            </c:strRef>
          </c:tx>
          <c:spPr>
            <a:ln w="28575" cap="rnd">
              <a:solidFill>
                <a:schemeClr val="accent3"/>
              </a:solidFill>
              <a:round/>
            </a:ln>
            <a:effectLst/>
          </c:spPr>
          <c:marker>
            <c:symbol val="none"/>
          </c:marker>
          <c:cat>
            <c:numRef>
              <c:f>OnsitePV!$D$6:$S$6</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OnsitePV!$D$9:$S$9</c:f>
              <c:numCache>
                <c:formatCode>General</c:formatCode>
                <c:ptCount val="16"/>
                <c:pt idx="0">
                  <c:v>154</c:v>
                </c:pt>
                <c:pt idx="1">
                  <c:v>250</c:v>
                </c:pt>
                <c:pt idx="2">
                  <c:v>384</c:v>
                </c:pt>
                <c:pt idx="3">
                  <c:v>584</c:v>
                </c:pt>
                <c:pt idx="4">
                  <c:v>884</c:v>
                </c:pt>
                <c:pt idx="5">
                  <c:v>1234</c:v>
                </c:pt>
                <c:pt idx="6">
                  <c:v>1634</c:v>
                </c:pt>
                <c:pt idx="7">
                  <c:v>2600</c:v>
                </c:pt>
                <c:pt idx="8">
                  <c:v>6250</c:v>
                </c:pt>
                <c:pt idx="9">
                  <c:v>8250</c:v>
                </c:pt>
                <c:pt idx="10">
                  <c:v>9750</c:v>
                </c:pt>
                <c:pt idx="11">
                  <c:v>10750</c:v>
                </c:pt>
                <c:pt idx="12">
                  <c:v>11750</c:v>
                </c:pt>
                <c:pt idx="13">
                  <c:v>12750</c:v>
                </c:pt>
                <c:pt idx="14">
                  <c:v>13750</c:v>
                </c:pt>
                <c:pt idx="15">
                  <c:v>14750</c:v>
                </c:pt>
              </c:numCache>
            </c:numRef>
          </c:val>
          <c:smooth val="0"/>
          <c:extLst>
            <c:ext xmlns:c16="http://schemas.microsoft.com/office/drawing/2014/chart" uri="{C3380CC4-5D6E-409C-BE32-E72D297353CC}">
              <c16:uniqueId val="{00000002-B16E-4B1F-B9E8-FE28ED282E3C}"/>
            </c:ext>
          </c:extLst>
        </c:ser>
        <c:dLbls>
          <c:showLegendKey val="0"/>
          <c:showVal val="0"/>
          <c:showCatName val="0"/>
          <c:showSerName val="0"/>
          <c:showPercent val="0"/>
          <c:showBubbleSize val="0"/>
        </c:dLbls>
        <c:smooth val="0"/>
        <c:axId val="41363872"/>
        <c:axId val="41360032"/>
      </c:lineChart>
      <c:catAx>
        <c:axId val="4136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60032"/>
        <c:crosses val="autoZero"/>
        <c:auto val="1"/>
        <c:lblAlgn val="ctr"/>
        <c:lblOffset val="100"/>
        <c:noMultiLvlLbl val="0"/>
      </c:catAx>
      <c:valAx>
        <c:axId val="4136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6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NBI_NREL_etc!$B$40</c:f>
              <c:strCache>
                <c:ptCount val="1"/>
                <c:pt idx="0">
                  <c:v>PV</c:v>
                </c:pt>
              </c:strCache>
            </c:strRef>
          </c:tx>
          <c:spPr>
            <a:ln w="19050" cap="rnd">
              <a:solidFill>
                <a:schemeClr val="accent1"/>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NBI_NREL_etc!$D$40:$H$40</c:f>
              <c:numCache>
                <c:formatCode>General</c:formatCode>
                <c:ptCount val="5"/>
                <c:pt idx="0">
                  <c:v>12000</c:v>
                </c:pt>
                <c:pt idx="1">
                  <c:v>10000</c:v>
                </c:pt>
                <c:pt idx="2">
                  <c:v>9000</c:v>
                </c:pt>
                <c:pt idx="3">
                  <c:v>6000</c:v>
                </c:pt>
                <c:pt idx="4">
                  <c:v>4100</c:v>
                </c:pt>
              </c:numCache>
            </c:numRef>
          </c:yVal>
          <c:smooth val="0"/>
          <c:extLst>
            <c:ext xmlns:c16="http://schemas.microsoft.com/office/drawing/2014/chart" uri="{C3380CC4-5D6E-409C-BE32-E72D297353CC}">
              <c16:uniqueId val="{00000000-6786-422E-A64C-26B34A53A6D8}"/>
            </c:ext>
          </c:extLst>
        </c:ser>
        <c:ser>
          <c:idx val="1"/>
          <c:order val="1"/>
          <c:tx>
            <c:strRef>
              <c:f>NBI_NREL_etc!$B$41</c:f>
              <c:strCache>
                <c:ptCount val="1"/>
                <c:pt idx="0">
                  <c:v>Wind</c:v>
                </c:pt>
              </c:strCache>
            </c:strRef>
          </c:tx>
          <c:spPr>
            <a:ln w="19050" cap="rnd">
              <a:solidFill>
                <a:schemeClr val="accent2"/>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NBI_NREL_etc!$D$41:$H$41</c:f>
              <c:numCache>
                <c:formatCode>General</c:formatCode>
                <c:ptCount val="5"/>
                <c:pt idx="0">
                  <c:v>25000</c:v>
                </c:pt>
                <c:pt idx="1">
                  <c:v>22000</c:v>
                </c:pt>
                <c:pt idx="2">
                  <c:v>20000</c:v>
                </c:pt>
                <c:pt idx="3">
                  <c:v>18000</c:v>
                </c:pt>
                <c:pt idx="4">
                  <c:v>17000</c:v>
                </c:pt>
              </c:numCache>
            </c:numRef>
          </c:yVal>
          <c:smooth val="0"/>
          <c:extLst>
            <c:ext xmlns:c16="http://schemas.microsoft.com/office/drawing/2014/chart" uri="{C3380CC4-5D6E-409C-BE32-E72D297353CC}">
              <c16:uniqueId val="{00000001-6786-422E-A64C-26B34A53A6D8}"/>
            </c:ext>
          </c:extLst>
        </c:ser>
        <c:ser>
          <c:idx val="2"/>
          <c:order val="2"/>
          <c:tx>
            <c:strRef>
              <c:f>NBI_NREL_etc!$B$42</c:f>
              <c:strCache>
                <c:ptCount val="1"/>
                <c:pt idx="0">
                  <c:v>Coal+CCS</c:v>
                </c:pt>
              </c:strCache>
            </c:strRef>
          </c:tx>
          <c:spPr>
            <a:ln w="19050" cap="rnd">
              <a:solidFill>
                <a:schemeClr val="accent3"/>
              </a:solidFill>
              <a:round/>
            </a:ln>
            <a:effectLst/>
          </c:spPr>
          <c:marker>
            <c:symbol val="none"/>
          </c:marker>
          <c:xVal>
            <c:numRef>
              <c:f>NBI_NREL_etc!$D$39:$H$39</c:f>
              <c:numCache>
                <c:formatCode>General</c:formatCode>
                <c:ptCount val="5"/>
                <c:pt idx="0">
                  <c:v>2020</c:v>
                </c:pt>
                <c:pt idx="1">
                  <c:v>2025</c:v>
                </c:pt>
                <c:pt idx="2">
                  <c:v>2030</c:v>
                </c:pt>
                <c:pt idx="3">
                  <c:v>2040</c:v>
                </c:pt>
                <c:pt idx="4">
                  <c:v>2050</c:v>
                </c:pt>
              </c:numCache>
            </c:numRef>
          </c:xVal>
          <c:yVal>
            <c:numRef>
              <c:f>NBI_NREL_etc!$D$42:$H$42</c:f>
              <c:numCache>
                <c:formatCode>General</c:formatCode>
                <c:ptCount val="5"/>
                <c:pt idx="0">
                  <c:v>38000</c:v>
                </c:pt>
                <c:pt idx="1">
                  <c:v>38000</c:v>
                </c:pt>
                <c:pt idx="2">
                  <c:v>38000</c:v>
                </c:pt>
                <c:pt idx="3">
                  <c:v>38000</c:v>
                </c:pt>
                <c:pt idx="4">
                  <c:v>37000</c:v>
                </c:pt>
              </c:numCache>
            </c:numRef>
          </c:yVal>
          <c:smooth val="0"/>
          <c:extLst>
            <c:ext xmlns:c16="http://schemas.microsoft.com/office/drawing/2014/chart" uri="{C3380CC4-5D6E-409C-BE32-E72D297353CC}">
              <c16:uniqueId val="{00000002-6786-422E-A64C-26B34A53A6D8}"/>
            </c:ext>
          </c:extLst>
        </c:ser>
        <c:dLbls>
          <c:showLegendKey val="0"/>
          <c:showVal val="0"/>
          <c:showCatName val="0"/>
          <c:showSerName val="0"/>
          <c:showPercent val="0"/>
          <c:showBubbleSize val="0"/>
        </c:dLbls>
        <c:axId val="1241537424"/>
        <c:axId val="1241526608"/>
      </c:scatterChart>
      <c:valAx>
        <c:axId val="1241537424"/>
        <c:scaling>
          <c:orientation val="minMax"/>
          <c:max val="2050"/>
          <c:min val="20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26608"/>
        <c:crosses val="autoZero"/>
        <c:crossBetween val="midCat"/>
      </c:valAx>
      <c:valAx>
        <c:axId val="124152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5374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CA9C-4A9A-8E8C-10B23D28EC3A}"/>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CA9C-4A9A-8E8C-10B23D28EC3A}"/>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'Lab.Calcs.Assumptions'!$H$100:$H$104</c:f>
              <c:numCache>
                <c:formatCode>General</c:formatCode>
                <c:ptCount val="5"/>
                <c:pt idx="4" formatCode="0.000">
                  <c:v>9.7730300000000057</c:v>
                </c:pt>
              </c:numCache>
            </c:numRef>
          </c:val>
          <c:extLst>
            <c:ext xmlns:c16="http://schemas.microsoft.com/office/drawing/2014/chart" uri="{C3380CC4-5D6E-409C-BE32-E72D297353CC}">
              <c16:uniqueId val="{00000002-CA9C-4A9A-8E8C-10B23D28EC3A}"/>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CA9C-4A9A-8E8C-10B23D28EC3A}"/>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'Lab.Calcs.Assumptions'!$J$100:$J$104</c:f>
              <c:numCache>
                <c:formatCode>General</c:formatCode>
                <c:ptCount val="5"/>
                <c:pt idx="0">
                  <c:v>1.889</c:v>
                </c:pt>
              </c:numCache>
            </c:numRef>
          </c:val>
          <c:extLst>
            <c:ext xmlns:c16="http://schemas.microsoft.com/office/drawing/2014/chart" uri="{C3380CC4-5D6E-409C-BE32-E72D297353CC}">
              <c16:uniqueId val="{00000004-CA9C-4A9A-8E8C-10B23D28EC3A}"/>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'Lab.Calcs.Assumptions'!$K$100:$K$104</c:f>
              <c:numCache>
                <c:formatCode>General</c:formatCode>
                <c:ptCount val="5"/>
                <c:pt idx="0">
                  <c:v>5.1639999999999997</c:v>
                </c:pt>
              </c:numCache>
            </c:numRef>
          </c:val>
          <c:extLst>
            <c:ext xmlns:c16="http://schemas.microsoft.com/office/drawing/2014/chart" uri="{C3380CC4-5D6E-409C-BE32-E72D297353CC}">
              <c16:uniqueId val="{00000005-CA9C-4A9A-8E8C-10B23D28EC3A}"/>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'Lab.Calcs.Assumptions'!$L$100:$L$104</c:f>
              <c:numCache>
                <c:formatCode>General</c:formatCode>
                <c:ptCount val="5"/>
                <c:pt idx="0">
                  <c:v>1.4410000000000001</c:v>
                </c:pt>
              </c:numCache>
            </c:numRef>
          </c:val>
          <c:extLst>
            <c:ext xmlns:c16="http://schemas.microsoft.com/office/drawing/2014/chart" uri="{C3380CC4-5D6E-409C-BE32-E72D297353CC}">
              <c16:uniqueId val="{00000006-CA9C-4A9A-8E8C-10B23D28EC3A}"/>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'Lab.Calcs.Assumptions'!$E$100:$E$104</c:f>
              <c:strCache>
                <c:ptCount val="5"/>
                <c:pt idx="0">
                  <c:v>Eskom Optimal staffing vision in 2019</c:v>
                </c:pt>
                <c:pt idx="1">
                  <c:v>Eskom 2012</c:v>
                </c:pt>
                <c:pt idx="2">
                  <c:v>Munics 2012</c:v>
                </c:pt>
                <c:pt idx="3">
                  <c:v>Combined 2012</c:v>
                </c:pt>
                <c:pt idx="4">
                  <c:v>This Study</c:v>
                </c:pt>
              </c:strCache>
            </c:strRef>
          </c:cat>
          <c:val>
            <c:numRef>
              <c:f>'Lab.Calcs.Assumptions'!$M$100:$M$104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CA9C-4A9A-8E8C-10B23D28EC3A}"/>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'Lab.Calcs.Assumptions'!$F$99</c:f>
              <c:strCache>
                <c:ptCount val="1"/>
                <c:pt idx="0">
                  <c:v>Generation</c:v>
                </c:pt>
              </c:strCache>
            </c:strRef>
          </c:tx>
          <c:spPr>
            <a:solidFill>
              <a:schemeClr val="accent1"/>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C9E3-450E-A352-A180149C076E}"/>
            </c:ext>
          </c:extLst>
        </c:ser>
        <c:ser>
          <c:idx val="1"/>
          <c:order val="1"/>
          <c:tx>
            <c:strRef>
              <c:f>'Lab.Calcs.Assumptions'!$G$99</c:f>
              <c:strCache>
                <c:ptCount val="1"/>
                <c:pt idx="0">
                  <c:v>Transmission</c:v>
                </c:pt>
              </c:strCache>
            </c:strRef>
          </c:tx>
          <c:spPr>
            <a:solidFill>
              <a:schemeClr val="accent2"/>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'Lab.Calcs.Assumptions'!$G$101:$G$104</c:f>
              <c:numCache>
                <c:formatCode>General</c:formatCode>
                <c:ptCount val="4"/>
                <c:pt idx="0">
                  <c:v>1.67</c:v>
                </c:pt>
                <c:pt idx="2">
                  <c:v>1.67</c:v>
                </c:pt>
              </c:numCache>
            </c:numRef>
          </c:val>
          <c:extLst>
            <c:ext xmlns:c16="http://schemas.microsoft.com/office/drawing/2014/chart" uri="{C3380CC4-5D6E-409C-BE32-E72D297353CC}">
              <c16:uniqueId val="{00000001-C9E3-450E-A352-A180149C076E}"/>
            </c:ext>
          </c:extLst>
        </c:ser>
        <c:ser>
          <c:idx val="2"/>
          <c:order val="2"/>
          <c:tx>
            <c:strRef>
              <c:f>'Lab.Calcs.Assumptions'!$H$99</c:f>
              <c:strCache>
                <c:ptCount val="1"/>
                <c:pt idx="0">
                  <c:v>Tx+Other Corporate</c:v>
                </c:pt>
              </c:strCache>
            </c:strRef>
          </c:tx>
          <c:spPr>
            <a:solidFill>
              <a:schemeClr val="accent3"/>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'Lab.Calcs.Assumptions'!$H$101:$H$104</c:f>
              <c:numCache>
                <c:formatCode>General</c:formatCode>
                <c:ptCount val="4"/>
                <c:pt idx="3" formatCode="0.000">
                  <c:v>9.7730300000000057</c:v>
                </c:pt>
              </c:numCache>
            </c:numRef>
          </c:val>
          <c:extLst>
            <c:ext xmlns:c16="http://schemas.microsoft.com/office/drawing/2014/chart" uri="{C3380CC4-5D6E-409C-BE32-E72D297353CC}">
              <c16:uniqueId val="{00000002-C9E3-450E-A352-A180149C076E}"/>
            </c:ext>
          </c:extLst>
        </c:ser>
        <c:ser>
          <c:idx val="3"/>
          <c:order val="3"/>
          <c:tx>
            <c:strRef>
              <c:f>'Lab.Calcs.Assumptions'!$I$99</c:f>
              <c:strCache>
                <c:ptCount val="1"/>
                <c:pt idx="0">
                  <c:v>Other corporate</c:v>
                </c:pt>
              </c:strCache>
            </c:strRef>
          </c:tx>
          <c:spPr>
            <a:solidFill>
              <a:schemeClr val="accent4"/>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C9E3-450E-A352-A180149C076E}"/>
            </c:ext>
          </c:extLst>
        </c:ser>
        <c:ser>
          <c:idx val="4"/>
          <c:order val="4"/>
          <c:tx>
            <c:strRef>
              <c:f>'Lab.Calcs.Assumptions'!$J$99</c:f>
              <c:strCache>
                <c:ptCount val="1"/>
                <c:pt idx="0">
                  <c:v>Finance+HR</c:v>
                </c:pt>
              </c:strCache>
            </c:strRef>
          </c:tx>
          <c:spPr>
            <a:solidFill>
              <a:schemeClr val="accent5"/>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'Lab.Calcs.Assumptions'!$J$101:$J$104</c:f>
              <c:numCache>
                <c:formatCode>General</c:formatCode>
                <c:ptCount val="4"/>
              </c:numCache>
            </c:numRef>
          </c:val>
          <c:extLst>
            <c:ext xmlns:c16="http://schemas.microsoft.com/office/drawing/2014/chart" uri="{C3380CC4-5D6E-409C-BE32-E72D297353CC}">
              <c16:uniqueId val="{00000004-C9E3-450E-A352-A180149C076E}"/>
            </c:ext>
          </c:extLst>
        </c:ser>
        <c:ser>
          <c:idx val="5"/>
          <c:order val="5"/>
          <c:tx>
            <c:strRef>
              <c:f>'Lab.Calcs.Assumptions'!$K$99</c:f>
              <c:strCache>
                <c:ptCount val="1"/>
                <c:pt idx="0">
                  <c:v>Eskom Rotek</c:v>
                </c:pt>
              </c:strCache>
            </c:strRef>
          </c:tx>
          <c:spPr>
            <a:solidFill>
              <a:schemeClr val="accent6"/>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'Lab.Calcs.Assumptions'!$K$101:$K$104</c:f>
              <c:numCache>
                <c:formatCode>General</c:formatCode>
                <c:ptCount val="4"/>
              </c:numCache>
            </c:numRef>
          </c:val>
          <c:extLst>
            <c:ext xmlns:c16="http://schemas.microsoft.com/office/drawing/2014/chart" uri="{C3380CC4-5D6E-409C-BE32-E72D297353CC}">
              <c16:uniqueId val="{00000005-C9E3-450E-A352-A180149C076E}"/>
            </c:ext>
          </c:extLst>
        </c:ser>
        <c:ser>
          <c:idx val="6"/>
          <c:order val="6"/>
          <c:tx>
            <c:strRef>
              <c:f>'Lab.Calcs.Assumptions'!$L$99</c:f>
              <c:strCache>
                <c:ptCount val="1"/>
                <c:pt idx="0">
                  <c:v>New build</c:v>
                </c:pt>
              </c:strCache>
            </c:strRef>
          </c:tx>
          <c:spPr>
            <a:solidFill>
              <a:schemeClr val="accent1">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'Lab.Calcs.Assumptions'!$L$101:$L$104</c:f>
              <c:numCache>
                <c:formatCode>General</c:formatCode>
                <c:ptCount val="4"/>
              </c:numCache>
            </c:numRef>
          </c:val>
          <c:extLst>
            <c:ext xmlns:c16="http://schemas.microsoft.com/office/drawing/2014/chart" uri="{C3380CC4-5D6E-409C-BE32-E72D297353CC}">
              <c16:uniqueId val="{00000006-C9E3-450E-A352-A180149C076E}"/>
            </c:ext>
          </c:extLst>
        </c:ser>
        <c:ser>
          <c:idx val="7"/>
          <c:order val="7"/>
          <c:tx>
            <c:strRef>
              <c:f>'Lab.Calcs.Assumptions'!$M$99</c:f>
              <c:strCache>
                <c:ptCount val="1"/>
                <c:pt idx="0">
                  <c:v>Distribution</c:v>
                </c:pt>
              </c:strCache>
            </c:strRef>
          </c:tx>
          <c:spPr>
            <a:solidFill>
              <a:schemeClr val="accent2">
                <a:lumMod val="60000"/>
              </a:schemeClr>
            </a:solidFill>
            <a:ln>
              <a:noFill/>
            </a:ln>
            <a:effectLst/>
          </c:spPr>
          <c:invertIfNegative val="0"/>
          <c:cat>
            <c:strRef>
              <c:f>'Lab.Calcs.Assumptions'!$E$101:$E$104</c:f>
              <c:strCache>
                <c:ptCount val="4"/>
                <c:pt idx="0">
                  <c:v>Eskom 2012</c:v>
                </c:pt>
                <c:pt idx="1">
                  <c:v>Munics 2012</c:v>
                </c:pt>
                <c:pt idx="2">
                  <c:v>Combined 2012</c:v>
                </c:pt>
                <c:pt idx="3">
                  <c:v>This Study</c:v>
                </c:pt>
              </c:strCache>
            </c:strRef>
          </c:cat>
          <c:val>
            <c:numRef>
              <c:f>'Lab.Calcs.Assumptions'!$M$101:$M$104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C9E3-450E-A352-A180149C076E}"/>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4"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emf"/><Relationship Id="rId7" Type="http://schemas.openxmlformats.org/officeDocument/2006/relationships/image" Target="../media/image19.png"/><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png"/><Relationship Id="rId5" Type="http://schemas.openxmlformats.org/officeDocument/2006/relationships/image" Target="../media/image17.emf"/><Relationship Id="rId10" Type="http://schemas.openxmlformats.org/officeDocument/2006/relationships/image" Target="../media/image22.png"/><Relationship Id="rId4" Type="http://schemas.openxmlformats.org/officeDocument/2006/relationships/image" Target="../media/image16.emf"/><Relationship Id="rId9" Type="http://schemas.openxmlformats.org/officeDocument/2006/relationships/image" Target="../media/image21.emf"/></Relationships>
</file>

<file path=xl/drawings/_rels/drawing1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18.png"/><Relationship Id="rId4"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30.png"/><Relationship Id="rId7" Type="http://schemas.openxmlformats.org/officeDocument/2006/relationships/chart" Target="../charts/chart4.xml"/><Relationship Id="rId2" Type="http://schemas.openxmlformats.org/officeDocument/2006/relationships/image" Target="../media/image29.png"/><Relationship Id="rId1" Type="http://schemas.openxmlformats.org/officeDocument/2006/relationships/image" Target="../media/image26.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chart" Target="../charts/chart5.xml"/><Relationship Id="rId1" Type="http://schemas.openxmlformats.org/officeDocument/2006/relationships/image" Target="../media/image39.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23.x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6.emf"/><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emf"/><Relationship Id="rId1" Type="http://schemas.openxmlformats.org/officeDocument/2006/relationships/image" Target="../media/image49.emf"/><Relationship Id="rId6" Type="http://schemas.openxmlformats.org/officeDocument/2006/relationships/image" Target="../media/image54.png"/><Relationship Id="rId11" Type="http://schemas.openxmlformats.org/officeDocument/2006/relationships/image" Target="../media/image57.png"/><Relationship Id="rId5" Type="http://schemas.openxmlformats.org/officeDocument/2006/relationships/image" Target="../media/image53.png"/><Relationship Id="rId10" Type="http://schemas.openxmlformats.org/officeDocument/2006/relationships/chart" Target="../charts/chart7.xml"/><Relationship Id="rId4" Type="http://schemas.openxmlformats.org/officeDocument/2006/relationships/image" Target="../media/image52.png"/><Relationship Id="rId9" Type="http://schemas.openxmlformats.org/officeDocument/2006/relationships/chart" Target="../charts/chart6.xml"/></Relationships>
</file>

<file path=xl/drawings/_rels/drawing26.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27.x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drawing28.xml.rels><?xml version="1.0" encoding="UTF-8" standalone="yes"?>
<Relationships xmlns="http://schemas.openxmlformats.org/package/2006/relationships"><Relationship Id="rId3" Type="http://schemas.openxmlformats.org/officeDocument/2006/relationships/image" Target="../media/image65.emf"/><Relationship Id="rId2" Type="http://schemas.openxmlformats.org/officeDocument/2006/relationships/image" Target="../media/image64.emf"/><Relationship Id="rId1" Type="http://schemas.openxmlformats.org/officeDocument/2006/relationships/image" Target="../media/image63.emf"/></Relationships>
</file>

<file path=xl/drawings/_rels/drawing29.xml.rels><?xml version="1.0" encoding="UTF-8" standalone="yes"?>
<Relationships xmlns="http://schemas.openxmlformats.org/package/2006/relationships"><Relationship Id="rId3" Type="http://schemas.openxmlformats.org/officeDocument/2006/relationships/image" Target="../media/image68.emf"/><Relationship Id="rId2" Type="http://schemas.openxmlformats.org/officeDocument/2006/relationships/image" Target="../media/image67.emf"/><Relationship Id="rId1" Type="http://schemas.openxmlformats.org/officeDocument/2006/relationships/image" Target="../media/image66.emf"/></Relationships>
</file>

<file path=xl/drawings/_rels/drawing30.xml.rels><?xml version="1.0" encoding="UTF-8" standalone="yes"?>
<Relationships xmlns="http://schemas.openxmlformats.org/package/2006/relationships"><Relationship Id="rId3" Type="http://schemas.openxmlformats.org/officeDocument/2006/relationships/image" Target="../media/image71.emf"/><Relationship Id="rId2" Type="http://schemas.openxmlformats.org/officeDocument/2006/relationships/image" Target="../media/image70.emf"/><Relationship Id="rId1" Type="http://schemas.openxmlformats.org/officeDocument/2006/relationships/image" Target="../media/image69.emf"/></Relationships>
</file>

<file path=xl/drawings/_rels/drawing31.xml.rels><?xml version="1.0" encoding="UTF-8" standalone="yes"?>
<Relationships xmlns="http://schemas.openxmlformats.org/package/2006/relationships"><Relationship Id="rId3" Type="http://schemas.openxmlformats.org/officeDocument/2006/relationships/image" Target="../media/image74.emf"/><Relationship Id="rId2" Type="http://schemas.openxmlformats.org/officeDocument/2006/relationships/image" Target="../media/image73.emf"/><Relationship Id="rId1" Type="http://schemas.openxmlformats.org/officeDocument/2006/relationships/image" Target="../media/image72.emf"/><Relationship Id="rId5" Type="http://schemas.openxmlformats.org/officeDocument/2006/relationships/image" Target="../media/image76.emf"/><Relationship Id="rId4" Type="http://schemas.openxmlformats.org/officeDocument/2006/relationships/image" Target="../media/image75.emf"/></Relationships>
</file>

<file path=xl/drawings/_rels/drawing32.xml.rels><?xml version="1.0" encoding="UTF-8" standalone="yes"?>
<Relationships xmlns="http://schemas.openxmlformats.org/package/2006/relationships"><Relationship Id="rId3" Type="http://schemas.openxmlformats.org/officeDocument/2006/relationships/image" Target="../media/image79.emf"/><Relationship Id="rId7" Type="http://schemas.openxmlformats.org/officeDocument/2006/relationships/image" Target="../media/image83.emf"/><Relationship Id="rId2" Type="http://schemas.openxmlformats.org/officeDocument/2006/relationships/image" Target="../media/image78.emf"/><Relationship Id="rId1" Type="http://schemas.openxmlformats.org/officeDocument/2006/relationships/image" Target="../media/image77.emf"/><Relationship Id="rId6" Type="http://schemas.openxmlformats.org/officeDocument/2006/relationships/image" Target="../media/image82.emf"/><Relationship Id="rId5" Type="http://schemas.openxmlformats.org/officeDocument/2006/relationships/image" Target="../media/image81.emf"/><Relationship Id="rId4" Type="http://schemas.openxmlformats.org/officeDocument/2006/relationships/image" Target="../media/image80.emf"/></Relationships>
</file>

<file path=xl/drawings/_rels/drawing33.x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5" Type="http://schemas.openxmlformats.org/officeDocument/2006/relationships/image" Target="../media/image88.emf"/><Relationship Id="rId4" Type="http://schemas.openxmlformats.org/officeDocument/2006/relationships/image" Target="../media/image87.emf"/></Relationships>
</file>

<file path=xl/drawings/_rels/drawing34.xml.rels><?xml version="1.0" encoding="UTF-8" standalone="yes"?>
<Relationships xmlns="http://schemas.openxmlformats.org/package/2006/relationships"><Relationship Id="rId3" Type="http://schemas.openxmlformats.org/officeDocument/2006/relationships/image" Target="../media/image94.emf"/><Relationship Id="rId2" Type="http://schemas.openxmlformats.org/officeDocument/2006/relationships/image" Target="../media/image93.emf"/><Relationship Id="rId1" Type="http://schemas.openxmlformats.org/officeDocument/2006/relationships/image" Target="../media/image92.emf"/><Relationship Id="rId4" Type="http://schemas.openxmlformats.org/officeDocument/2006/relationships/image" Target="../media/image95.emf"/></Relationships>
</file>

<file path=xl/drawings/_rels/drawing35.xml.rels><?xml version="1.0" encoding="UTF-8" standalone="yes"?>
<Relationships xmlns="http://schemas.openxmlformats.org/package/2006/relationships"><Relationship Id="rId8" Type="http://schemas.openxmlformats.org/officeDocument/2006/relationships/image" Target="../media/image103.emf"/><Relationship Id="rId3" Type="http://schemas.openxmlformats.org/officeDocument/2006/relationships/image" Target="../media/image98.emf"/><Relationship Id="rId7" Type="http://schemas.openxmlformats.org/officeDocument/2006/relationships/image" Target="../media/image102.emf"/><Relationship Id="rId2" Type="http://schemas.openxmlformats.org/officeDocument/2006/relationships/image" Target="../media/image97.emf"/><Relationship Id="rId1" Type="http://schemas.openxmlformats.org/officeDocument/2006/relationships/image" Target="../media/image96.emf"/><Relationship Id="rId6" Type="http://schemas.openxmlformats.org/officeDocument/2006/relationships/image" Target="../media/image101.emf"/><Relationship Id="rId5" Type="http://schemas.openxmlformats.org/officeDocument/2006/relationships/image" Target="../media/image100.emf"/><Relationship Id="rId10" Type="http://schemas.openxmlformats.org/officeDocument/2006/relationships/image" Target="../media/image105.emf"/><Relationship Id="rId4" Type="http://schemas.openxmlformats.org/officeDocument/2006/relationships/image" Target="../media/image99.emf"/><Relationship Id="rId9" Type="http://schemas.openxmlformats.org/officeDocument/2006/relationships/image" Target="../media/image104.emf"/></Relationships>
</file>

<file path=xl/drawings/_rels/drawing36.xml.rels><?xml version="1.0" encoding="UTF-8" standalone="yes"?>
<Relationships xmlns="http://schemas.openxmlformats.org/package/2006/relationships"><Relationship Id="rId8" Type="http://schemas.openxmlformats.org/officeDocument/2006/relationships/image" Target="../media/image113.emf"/><Relationship Id="rId3" Type="http://schemas.openxmlformats.org/officeDocument/2006/relationships/image" Target="../media/image108.emf"/><Relationship Id="rId7" Type="http://schemas.openxmlformats.org/officeDocument/2006/relationships/image" Target="../media/image112.emf"/><Relationship Id="rId2" Type="http://schemas.openxmlformats.org/officeDocument/2006/relationships/image" Target="../media/image107.emf"/><Relationship Id="rId1" Type="http://schemas.openxmlformats.org/officeDocument/2006/relationships/image" Target="../media/image106.emf"/><Relationship Id="rId6" Type="http://schemas.openxmlformats.org/officeDocument/2006/relationships/image" Target="../media/image111.emf"/><Relationship Id="rId5" Type="http://schemas.openxmlformats.org/officeDocument/2006/relationships/image" Target="../media/image110.emf"/><Relationship Id="rId4" Type="http://schemas.openxmlformats.org/officeDocument/2006/relationships/image" Target="../media/image109.emf"/></Relationships>
</file>

<file path=xl/drawings/_rels/drawing37.xml.rels><?xml version="1.0" encoding="UTF-8" standalone="yes"?>
<Relationships xmlns="http://schemas.openxmlformats.org/package/2006/relationships"><Relationship Id="rId8" Type="http://schemas.openxmlformats.org/officeDocument/2006/relationships/image" Target="../media/image121.emf"/><Relationship Id="rId3" Type="http://schemas.openxmlformats.org/officeDocument/2006/relationships/image" Target="../media/image116.emf"/><Relationship Id="rId7" Type="http://schemas.openxmlformats.org/officeDocument/2006/relationships/image" Target="../media/image120.emf"/><Relationship Id="rId2" Type="http://schemas.openxmlformats.org/officeDocument/2006/relationships/image" Target="../media/image115.emf"/><Relationship Id="rId1" Type="http://schemas.openxmlformats.org/officeDocument/2006/relationships/image" Target="../media/image114.emf"/><Relationship Id="rId6" Type="http://schemas.openxmlformats.org/officeDocument/2006/relationships/image" Target="../media/image119.emf"/><Relationship Id="rId5" Type="http://schemas.openxmlformats.org/officeDocument/2006/relationships/image" Target="../media/image118.emf"/><Relationship Id="rId10" Type="http://schemas.openxmlformats.org/officeDocument/2006/relationships/image" Target="../media/image123.emf"/><Relationship Id="rId4" Type="http://schemas.openxmlformats.org/officeDocument/2006/relationships/image" Target="../media/image117.emf"/><Relationship Id="rId9" Type="http://schemas.openxmlformats.org/officeDocument/2006/relationships/image" Target="../media/image122.emf"/></Relationships>
</file>

<file path=xl/drawings/_rels/drawing38.xml.rels><?xml version="1.0" encoding="UTF-8" standalone="yes"?>
<Relationships xmlns="http://schemas.openxmlformats.org/package/2006/relationships"><Relationship Id="rId8" Type="http://schemas.openxmlformats.org/officeDocument/2006/relationships/image" Target="../media/image131.emf"/><Relationship Id="rId3" Type="http://schemas.openxmlformats.org/officeDocument/2006/relationships/image" Target="../media/image126.emf"/><Relationship Id="rId7" Type="http://schemas.openxmlformats.org/officeDocument/2006/relationships/image" Target="../media/image130.emf"/><Relationship Id="rId2" Type="http://schemas.openxmlformats.org/officeDocument/2006/relationships/image" Target="../media/image125.emf"/><Relationship Id="rId1" Type="http://schemas.openxmlformats.org/officeDocument/2006/relationships/image" Target="../media/image124.emf"/><Relationship Id="rId6" Type="http://schemas.openxmlformats.org/officeDocument/2006/relationships/image" Target="../media/image129.emf"/><Relationship Id="rId5" Type="http://schemas.openxmlformats.org/officeDocument/2006/relationships/image" Target="../media/image128.emf"/><Relationship Id="rId10" Type="http://schemas.openxmlformats.org/officeDocument/2006/relationships/image" Target="../media/image133.emf"/><Relationship Id="rId4" Type="http://schemas.openxmlformats.org/officeDocument/2006/relationships/image" Target="../media/image127.emf"/><Relationship Id="rId9" Type="http://schemas.openxmlformats.org/officeDocument/2006/relationships/image" Target="../media/image132.emf"/></Relationships>
</file>

<file path=xl/drawings/_rels/drawing39.xml.rels><?xml version="1.0" encoding="UTF-8" standalone="yes"?>
<Relationships xmlns="http://schemas.openxmlformats.org/package/2006/relationships"><Relationship Id="rId8" Type="http://schemas.openxmlformats.org/officeDocument/2006/relationships/image" Target="../media/image141.emf"/><Relationship Id="rId3" Type="http://schemas.openxmlformats.org/officeDocument/2006/relationships/image" Target="../media/image136.emf"/><Relationship Id="rId7" Type="http://schemas.openxmlformats.org/officeDocument/2006/relationships/image" Target="../media/image140.emf"/><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9.emf"/><Relationship Id="rId5" Type="http://schemas.openxmlformats.org/officeDocument/2006/relationships/image" Target="../media/image138.emf"/><Relationship Id="rId4" Type="http://schemas.openxmlformats.org/officeDocument/2006/relationships/image" Target="../media/image137.emf"/></Relationships>
</file>

<file path=xl/drawings/_rels/drawing40.xml.rels><?xml version="1.0" encoding="UTF-8" standalone="yes"?>
<Relationships xmlns="http://schemas.openxmlformats.org/package/2006/relationships"><Relationship Id="rId8" Type="http://schemas.openxmlformats.org/officeDocument/2006/relationships/image" Target="../media/image149.emf"/><Relationship Id="rId3" Type="http://schemas.openxmlformats.org/officeDocument/2006/relationships/image" Target="../media/image144.emf"/><Relationship Id="rId7" Type="http://schemas.openxmlformats.org/officeDocument/2006/relationships/image" Target="../media/image148.emf"/><Relationship Id="rId2" Type="http://schemas.openxmlformats.org/officeDocument/2006/relationships/image" Target="../media/image143.emf"/><Relationship Id="rId1" Type="http://schemas.openxmlformats.org/officeDocument/2006/relationships/image" Target="../media/image142.emf"/><Relationship Id="rId6" Type="http://schemas.openxmlformats.org/officeDocument/2006/relationships/image" Target="../media/image147.emf"/><Relationship Id="rId5" Type="http://schemas.openxmlformats.org/officeDocument/2006/relationships/image" Target="../media/image146.emf"/><Relationship Id="rId10" Type="http://schemas.openxmlformats.org/officeDocument/2006/relationships/image" Target="../media/image151.emf"/><Relationship Id="rId4" Type="http://schemas.openxmlformats.org/officeDocument/2006/relationships/image" Target="../media/image145.emf"/><Relationship Id="rId9" Type="http://schemas.openxmlformats.org/officeDocument/2006/relationships/image" Target="../media/image150.emf"/></Relationships>
</file>

<file path=xl/drawings/drawing1.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6</xdr:col>
      <xdr:colOff>339725</xdr:colOff>
      <xdr:row>4</xdr:row>
      <xdr:rowOff>142875</xdr:rowOff>
    </xdr:to>
    <xdr:sp macro="" textlink="">
      <xdr:nvSpPr>
        <xdr:cNvPr id="257025" name="cmdSpecifySets" hidden="1">
          <a:extLst>
            <a:ext uri="{63B3BB69-23CF-44E3-9099-C40C66FF867C}">
              <a14:compatExt xmlns:a14="http://schemas.microsoft.com/office/drawing/2010/main" spid="_x0000_s257025"/>
            </a:ext>
            <a:ext uri="{FF2B5EF4-FFF2-40B4-BE49-F238E27FC236}">
              <a16:creationId xmlns:a16="http://schemas.microsoft.com/office/drawing/2014/main" id="{00000000-0008-0000-0200-000001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82550</xdr:rowOff>
    </xdr:to>
    <xdr:sp macro="" textlink="">
      <xdr:nvSpPr>
        <xdr:cNvPr id="257026" name="cmdCheckTechnologiesSheet" hidden="1">
          <a:extLst>
            <a:ext uri="{63B3BB69-23CF-44E3-9099-C40C66FF867C}">
              <a14:compatExt xmlns:a14="http://schemas.microsoft.com/office/drawing/2010/main" spid="_x0000_s257026"/>
            </a:ext>
            <a:ext uri="{FF2B5EF4-FFF2-40B4-BE49-F238E27FC236}">
              <a16:creationId xmlns:a16="http://schemas.microsoft.com/office/drawing/2014/main" id="{00000000-0008-0000-0200-000002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10</xdr:col>
      <xdr:colOff>0</xdr:colOff>
      <xdr:row>3</xdr:row>
      <xdr:rowOff>139700</xdr:rowOff>
    </xdr:from>
    <xdr:to>
      <xdr:col>11</xdr:col>
      <xdr:colOff>25400</xdr:colOff>
      <xdr:row>4</xdr:row>
      <xdr:rowOff>142875</xdr:rowOff>
    </xdr:to>
    <xdr:sp macro="" textlink="">
      <xdr:nvSpPr>
        <xdr:cNvPr id="257027" name="cmdProcUnits" hidden="1">
          <a:extLst>
            <a:ext uri="{63B3BB69-23CF-44E3-9099-C40C66FF867C}">
              <a14:compatExt xmlns:a14="http://schemas.microsoft.com/office/drawing/2010/main" spid="_x0000_s257027"/>
            </a:ext>
            <a:ext uri="{FF2B5EF4-FFF2-40B4-BE49-F238E27FC236}">
              <a16:creationId xmlns:a16="http://schemas.microsoft.com/office/drawing/2014/main" id="{00000000-0008-0000-0200-000003E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258049" name="cmdSpecifySets" hidden="1">
          <a:extLst>
            <a:ext uri="{63B3BB69-23CF-44E3-9099-C40C66FF867C}">
              <a14:compatExt xmlns:a14="http://schemas.microsoft.com/office/drawing/2010/main" spid="_x0000_s258049"/>
            </a:ext>
            <a:ext uri="{FF2B5EF4-FFF2-40B4-BE49-F238E27FC236}">
              <a16:creationId xmlns:a16="http://schemas.microsoft.com/office/drawing/2014/main" id="{00000000-0008-0000-1000-000001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258050" name="cmdCheckCommoditiesSheet" hidden="1">
          <a:extLst>
            <a:ext uri="{63B3BB69-23CF-44E3-9099-C40C66FF867C}">
              <a14:compatExt xmlns:a14="http://schemas.microsoft.com/office/drawing/2010/main" spid="_x0000_s258050"/>
            </a:ext>
            <a:ext uri="{FF2B5EF4-FFF2-40B4-BE49-F238E27FC236}">
              <a16:creationId xmlns:a16="http://schemas.microsoft.com/office/drawing/2014/main" id="{00000000-0008-0000-1000-000002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258051" name="cmdCommUnit" hidden="1">
          <a:extLst>
            <a:ext uri="{63B3BB69-23CF-44E3-9099-C40C66FF867C}">
              <a14:compatExt xmlns:a14="http://schemas.microsoft.com/office/drawing/2010/main" spid="_x0000_s258051"/>
            </a:ext>
            <a:ext uri="{FF2B5EF4-FFF2-40B4-BE49-F238E27FC236}">
              <a16:creationId xmlns:a16="http://schemas.microsoft.com/office/drawing/2014/main" id="{00000000-0008-0000-1000-000003F0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59086" name="cmdTechNameAndDesc" hidden="1">
          <a:extLst>
            <a:ext uri="{63B3BB69-23CF-44E3-9099-C40C66FF867C}">
              <a14:compatExt xmlns:a14="http://schemas.microsoft.com/office/drawing/2010/main" spid="_x0000_s259086"/>
            </a:ext>
            <a:ext uri="{FF2B5EF4-FFF2-40B4-BE49-F238E27FC236}">
              <a16:creationId xmlns:a16="http://schemas.microsoft.com/office/drawing/2014/main" id="{00000000-0008-0000-0300-00000E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59087" name="cmdCommIN" hidden="1">
          <a:extLst>
            <a:ext uri="{63B3BB69-23CF-44E3-9099-C40C66FF867C}">
              <a14:compatExt xmlns:a14="http://schemas.microsoft.com/office/drawing/2010/main" spid="_x0000_s259087"/>
            </a:ext>
            <a:ext uri="{FF2B5EF4-FFF2-40B4-BE49-F238E27FC236}">
              <a16:creationId xmlns:a16="http://schemas.microsoft.com/office/drawing/2014/main" id="{00000000-0008-0000-0300-00000F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59088" name="cmdCommOUT" hidden="1">
          <a:extLst>
            <a:ext uri="{63B3BB69-23CF-44E3-9099-C40C66FF867C}">
              <a14:compatExt xmlns:a14="http://schemas.microsoft.com/office/drawing/2010/main" spid="_x0000_s259088"/>
            </a:ext>
            <a:ext uri="{FF2B5EF4-FFF2-40B4-BE49-F238E27FC236}">
              <a16:creationId xmlns:a16="http://schemas.microsoft.com/office/drawing/2014/main" id="{00000000-0008-0000-0300-000010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686</xdr:colOff>
      <xdr:row>3</xdr:row>
      <xdr:rowOff>1199</xdr:rowOff>
    </xdr:to>
    <xdr:sp macro="" textlink="">
      <xdr:nvSpPr>
        <xdr:cNvPr id="259089" name="cmdAddParameter" hidden="1">
          <a:extLst>
            <a:ext uri="{63B3BB69-23CF-44E3-9099-C40C66FF867C}">
              <a14:compatExt xmlns:a14="http://schemas.microsoft.com/office/drawing/2010/main" spid="_x0000_s259089"/>
            </a:ext>
            <a:ext uri="{FF2B5EF4-FFF2-40B4-BE49-F238E27FC236}">
              <a16:creationId xmlns:a16="http://schemas.microsoft.com/office/drawing/2014/main" id="{00000000-0008-0000-0300-000011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686</xdr:colOff>
      <xdr:row>4</xdr:row>
      <xdr:rowOff>139700</xdr:rowOff>
    </xdr:to>
    <xdr:sp macro="" textlink="">
      <xdr:nvSpPr>
        <xdr:cNvPr id="259090" name="cmdAddParamQualifier1" hidden="1">
          <a:extLst>
            <a:ext uri="{63B3BB69-23CF-44E3-9099-C40C66FF867C}">
              <a14:compatExt xmlns:a14="http://schemas.microsoft.com/office/drawing/2010/main" spid="_x0000_s259090"/>
            </a:ext>
            <a:ext uri="{FF2B5EF4-FFF2-40B4-BE49-F238E27FC236}">
              <a16:creationId xmlns:a16="http://schemas.microsoft.com/office/drawing/2014/main" id="{00000000-0008-0000-0300-000012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686</xdr:colOff>
      <xdr:row>2</xdr:row>
      <xdr:rowOff>215900</xdr:rowOff>
    </xdr:to>
    <xdr:sp macro="" textlink="">
      <xdr:nvSpPr>
        <xdr:cNvPr id="259091" name="cmdCheckTechDataSheet" hidden="1">
          <a:extLst>
            <a:ext uri="{63B3BB69-23CF-44E3-9099-C40C66FF867C}">
              <a14:compatExt xmlns:a14="http://schemas.microsoft.com/office/drawing/2010/main" spid="_x0000_s259091"/>
            </a:ext>
            <a:ext uri="{FF2B5EF4-FFF2-40B4-BE49-F238E27FC236}">
              <a16:creationId xmlns:a16="http://schemas.microsoft.com/office/drawing/2014/main" id="{00000000-0008-0000-0300-000013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686</xdr:colOff>
      <xdr:row>6</xdr:row>
      <xdr:rowOff>38100</xdr:rowOff>
    </xdr:to>
    <xdr:sp macro="" textlink="">
      <xdr:nvSpPr>
        <xdr:cNvPr id="259092" name="cmdAddParamQualifier2" hidden="1">
          <a:extLst>
            <a:ext uri="{63B3BB69-23CF-44E3-9099-C40C66FF867C}">
              <a14:compatExt xmlns:a14="http://schemas.microsoft.com/office/drawing/2010/main" spid="_x0000_s259092"/>
            </a:ext>
            <a:ext uri="{FF2B5EF4-FFF2-40B4-BE49-F238E27FC236}">
              <a16:creationId xmlns:a16="http://schemas.microsoft.com/office/drawing/2014/main" id="{00000000-0008-0000-0300-000014F4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3</xdr:col>
      <xdr:colOff>279400</xdr:colOff>
      <xdr:row>2</xdr:row>
      <xdr:rowOff>215900</xdr:rowOff>
    </xdr:to>
    <xdr:sp macro="" textlink="">
      <xdr:nvSpPr>
        <xdr:cNvPr id="260128" name="cmdTechNameAndDesc" hidden="1">
          <a:extLst>
            <a:ext uri="{63B3BB69-23CF-44E3-9099-C40C66FF867C}">
              <a14:compatExt xmlns:a14="http://schemas.microsoft.com/office/drawing/2010/main" spid="_x0000_s260128"/>
            </a:ext>
            <a:ext uri="{FF2B5EF4-FFF2-40B4-BE49-F238E27FC236}">
              <a16:creationId xmlns:a16="http://schemas.microsoft.com/office/drawing/2014/main" id="{00000000-0008-0000-0400-000020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60129" name="cmdCommIN" hidden="1">
          <a:extLst>
            <a:ext uri="{63B3BB69-23CF-44E3-9099-C40C66FF867C}">
              <a14:compatExt xmlns:a14="http://schemas.microsoft.com/office/drawing/2010/main" spid="_x0000_s260129"/>
            </a:ext>
            <a:ext uri="{FF2B5EF4-FFF2-40B4-BE49-F238E27FC236}">
              <a16:creationId xmlns:a16="http://schemas.microsoft.com/office/drawing/2014/main" id="{00000000-0008-0000-0400-000021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0130" name="cmdCommOUT" hidden="1">
          <a:extLst>
            <a:ext uri="{63B3BB69-23CF-44E3-9099-C40C66FF867C}">
              <a14:compatExt xmlns:a14="http://schemas.microsoft.com/office/drawing/2010/main" spid="_x0000_s260130"/>
            </a:ext>
            <a:ext uri="{FF2B5EF4-FFF2-40B4-BE49-F238E27FC236}">
              <a16:creationId xmlns:a16="http://schemas.microsoft.com/office/drawing/2014/main" id="{00000000-0008-0000-0400-000022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1953</xdr:rowOff>
    </xdr:to>
    <xdr:sp macro="" textlink="">
      <xdr:nvSpPr>
        <xdr:cNvPr id="260131" name="cmdAddParameter" hidden="1">
          <a:extLst>
            <a:ext uri="{63B3BB69-23CF-44E3-9099-C40C66FF867C}">
              <a14:compatExt xmlns:a14="http://schemas.microsoft.com/office/drawing/2010/main" spid="_x0000_s260131"/>
            </a:ext>
            <a:ext uri="{FF2B5EF4-FFF2-40B4-BE49-F238E27FC236}">
              <a16:creationId xmlns:a16="http://schemas.microsoft.com/office/drawing/2014/main" id="{00000000-0008-0000-0400-000023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0132" name="cmdAddParamQualifier1" hidden="1">
          <a:extLst>
            <a:ext uri="{63B3BB69-23CF-44E3-9099-C40C66FF867C}">
              <a14:compatExt xmlns:a14="http://schemas.microsoft.com/office/drawing/2010/main" spid="_x0000_s260132"/>
            </a:ext>
            <a:ext uri="{FF2B5EF4-FFF2-40B4-BE49-F238E27FC236}">
              <a16:creationId xmlns:a16="http://schemas.microsoft.com/office/drawing/2014/main" id="{00000000-0008-0000-0400-000024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0133" name="cmdCheckTechDataSheet" hidden="1">
          <a:extLst>
            <a:ext uri="{63B3BB69-23CF-44E3-9099-C40C66FF867C}">
              <a14:compatExt xmlns:a14="http://schemas.microsoft.com/office/drawing/2010/main" spid="_x0000_s260133"/>
            </a:ext>
            <a:ext uri="{FF2B5EF4-FFF2-40B4-BE49-F238E27FC236}">
              <a16:creationId xmlns:a16="http://schemas.microsoft.com/office/drawing/2014/main" id="{00000000-0008-0000-0400-000025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0134" name="cmdAddParamQualifier2" hidden="1">
          <a:extLst>
            <a:ext uri="{63B3BB69-23CF-44E3-9099-C40C66FF867C}">
              <a14:compatExt xmlns:a14="http://schemas.microsoft.com/office/drawing/2010/main" spid="_x0000_s260134"/>
            </a:ext>
            <a:ext uri="{FF2B5EF4-FFF2-40B4-BE49-F238E27FC236}">
              <a16:creationId xmlns:a16="http://schemas.microsoft.com/office/drawing/2014/main" id="{00000000-0008-0000-0400-000026F8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242495</xdr:colOff>
      <xdr:row>41</xdr:row>
      <xdr:rowOff>129886</xdr:rowOff>
    </xdr:from>
    <xdr:to>
      <xdr:col>13</xdr:col>
      <xdr:colOff>546656</xdr:colOff>
      <xdr:row>63</xdr:row>
      <xdr:rowOff>141516</xdr:rowOff>
    </xdr:to>
    <xdr:pic>
      <xdr:nvPicPr>
        <xdr:cNvPr id="2" name="Picture 1">
          <a:extLst>
            <a:ext uri="{FF2B5EF4-FFF2-40B4-BE49-F238E27FC236}">
              <a16:creationId xmlns:a16="http://schemas.microsoft.com/office/drawing/2014/main" id="{3742738B-163E-EBF9-E187-D018B7882DC8}"/>
            </a:ext>
          </a:extLst>
        </xdr:cNvPr>
        <xdr:cNvPicPr>
          <a:picLocks noChangeAspect="1"/>
        </xdr:cNvPicPr>
      </xdr:nvPicPr>
      <xdr:blipFill>
        <a:blip xmlns:r="http://schemas.openxmlformats.org/officeDocument/2006/relationships" r:embed="rId1"/>
        <a:stretch>
          <a:fillRect/>
        </a:stretch>
      </xdr:blipFill>
      <xdr:spPr>
        <a:xfrm>
          <a:off x="8070313" y="6702136"/>
          <a:ext cx="3940979" cy="32501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1130" name="cmdTechNameAndDesc" hidden="1">
          <a:extLst>
            <a:ext uri="{63B3BB69-23CF-44E3-9099-C40C66FF867C}">
              <a14:compatExt xmlns:a14="http://schemas.microsoft.com/office/drawing/2010/main" spid="_x0000_s261130"/>
            </a:ext>
            <a:ext uri="{FF2B5EF4-FFF2-40B4-BE49-F238E27FC236}">
              <a16:creationId xmlns:a16="http://schemas.microsoft.com/office/drawing/2014/main" id="{00000000-0008-0000-0C00-00000A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61131" name="cmdCommIN" hidden="1">
          <a:extLst>
            <a:ext uri="{63B3BB69-23CF-44E3-9099-C40C66FF867C}">
              <a14:compatExt xmlns:a14="http://schemas.microsoft.com/office/drawing/2010/main" spid="_x0000_s261131"/>
            </a:ext>
            <a:ext uri="{FF2B5EF4-FFF2-40B4-BE49-F238E27FC236}">
              <a16:creationId xmlns:a16="http://schemas.microsoft.com/office/drawing/2014/main" id="{00000000-0008-0000-0C00-00000B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1132" name="cmdCommOUT" hidden="1">
          <a:extLst>
            <a:ext uri="{63B3BB69-23CF-44E3-9099-C40C66FF867C}">
              <a14:compatExt xmlns:a14="http://schemas.microsoft.com/office/drawing/2010/main" spid="_x0000_s261132"/>
            </a:ext>
            <a:ext uri="{FF2B5EF4-FFF2-40B4-BE49-F238E27FC236}">
              <a16:creationId xmlns:a16="http://schemas.microsoft.com/office/drawing/2014/main" id="{00000000-0008-0000-0C00-00000C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1133" name="cmdAddParameter" hidden="1">
          <a:extLst>
            <a:ext uri="{63B3BB69-23CF-44E3-9099-C40C66FF867C}">
              <a14:compatExt xmlns:a14="http://schemas.microsoft.com/office/drawing/2010/main" spid="_x0000_s261133"/>
            </a:ext>
            <a:ext uri="{FF2B5EF4-FFF2-40B4-BE49-F238E27FC236}">
              <a16:creationId xmlns:a16="http://schemas.microsoft.com/office/drawing/2014/main" id="{00000000-0008-0000-0C00-00000D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61134" name="cmdAddParamQualifier1" hidden="1">
          <a:extLst>
            <a:ext uri="{63B3BB69-23CF-44E3-9099-C40C66FF867C}">
              <a14:compatExt xmlns:a14="http://schemas.microsoft.com/office/drawing/2010/main" spid="_x0000_s261134"/>
            </a:ext>
            <a:ext uri="{FF2B5EF4-FFF2-40B4-BE49-F238E27FC236}">
              <a16:creationId xmlns:a16="http://schemas.microsoft.com/office/drawing/2014/main" id="{00000000-0008-0000-0C00-00000E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1135" name="cmdCheckTechDataSheet" hidden="1">
          <a:extLst>
            <a:ext uri="{63B3BB69-23CF-44E3-9099-C40C66FF867C}">
              <a14:compatExt xmlns:a14="http://schemas.microsoft.com/office/drawing/2010/main" spid="_x0000_s261135"/>
            </a:ext>
            <a:ext uri="{FF2B5EF4-FFF2-40B4-BE49-F238E27FC236}">
              <a16:creationId xmlns:a16="http://schemas.microsoft.com/office/drawing/2014/main" id="{00000000-0008-0000-0C00-00000F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61136" name="cmdAddParamQualifier2" hidden="1">
          <a:extLst>
            <a:ext uri="{63B3BB69-23CF-44E3-9099-C40C66FF867C}">
              <a14:compatExt xmlns:a14="http://schemas.microsoft.com/office/drawing/2010/main" spid="_x0000_s261136"/>
            </a:ext>
            <a:ext uri="{FF2B5EF4-FFF2-40B4-BE49-F238E27FC236}">
              <a16:creationId xmlns:a16="http://schemas.microsoft.com/office/drawing/2014/main" id="{00000000-0008-0000-0C00-000010FC03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62</xdr:col>
      <xdr:colOff>66675</xdr:colOff>
      <xdr:row>13</xdr:row>
      <xdr:rowOff>85725</xdr:rowOff>
    </xdr:from>
    <xdr:to>
      <xdr:col>75</xdr:col>
      <xdr:colOff>446638</xdr:colOff>
      <xdr:row>37</xdr:row>
      <xdr:rowOff>132915</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2452925" y="2647950"/>
          <a:ext cx="8304762" cy="3476190"/>
        </a:xfrm>
        <a:prstGeom prst="rect">
          <a:avLst/>
        </a:prstGeom>
      </xdr:spPr>
    </xdr:pic>
    <xdr:clientData/>
  </xdr:twoCellAnchor>
  <xdr:twoCellAnchor>
    <xdr:from>
      <xdr:col>13</xdr:col>
      <xdr:colOff>252413</xdr:colOff>
      <xdr:row>25</xdr:row>
      <xdr:rowOff>85725</xdr:rowOff>
    </xdr:from>
    <xdr:to>
      <xdr:col>24</xdr:col>
      <xdr:colOff>523876</xdr:colOff>
      <xdr:row>66</xdr:row>
      <xdr:rowOff>66674</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35718</xdr:colOff>
      <xdr:row>25</xdr:row>
      <xdr:rowOff>84929</xdr:rowOff>
    </xdr:from>
    <xdr:to>
      <xdr:col>32</xdr:col>
      <xdr:colOff>329405</xdr:colOff>
      <xdr:row>51</xdr:row>
      <xdr:rowOff>103186</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257174</xdr:colOff>
      <xdr:row>66</xdr:row>
      <xdr:rowOff>85724</xdr:rowOff>
    </xdr:from>
    <xdr:to>
      <xdr:col>24</xdr:col>
      <xdr:colOff>523875</xdr:colOff>
      <xdr:row>102</xdr:row>
      <xdr:rowOff>133349</xdr:rowOff>
    </xdr:to>
    <xdr:graphicFrame macro="">
      <xdr:nvGraphicFramePr>
        <xdr:cNvPr id="5" name="Chart 4">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2146" name="cmdTechNameAndDesc" hidden="1">
          <a:extLst>
            <a:ext uri="{63B3BB69-23CF-44E3-9099-C40C66FF867C}">
              <a14:compatExt xmlns:a14="http://schemas.microsoft.com/office/drawing/2010/main" spid="_x0000_s262146"/>
            </a:ext>
            <a:ext uri="{FF2B5EF4-FFF2-40B4-BE49-F238E27FC236}">
              <a16:creationId xmlns:a16="http://schemas.microsoft.com/office/drawing/2014/main" id="{00000000-0008-0000-0D00-000002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62147" name="cmdCommIN" hidden="1">
          <a:extLst>
            <a:ext uri="{63B3BB69-23CF-44E3-9099-C40C66FF867C}">
              <a14:compatExt xmlns:a14="http://schemas.microsoft.com/office/drawing/2010/main" spid="_x0000_s262147"/>
            </a:ext>
            <a:ext uri="{FF2B5EF4-FFF2-40B4-BE49-F238E27FC236}">
              <a16:creationId xmlns:a16="http://schemas.microsoft.com/office/drawing/2014/main" id="{00000000-0008-0000-0D00-000003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2148" name="cmdCommOUT" hidden="1">
          <a:extLst>
            <a:ext uri="{63B3BB69-23CF-44E3-9099-C40C66FF867C}">
              <a14:compatExt xmlns:a14="http://schemas.microsoft.com/office/drawing/2010/main" spid="_x0000_s262148"/>
            </a:ext>
            <a:ext uri="{FF2B5EF4-FFF2-40B4-BE49-F238E27FC236}">
              <a16:creationId xmlns:a16="http://schemas.microsoft.com/office/drawing/2014/main" id="{00000000-0008-0000-0D00-000004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62149" name="cmdAddParameter" hidden="1">
          <a:extLst>
            <a:ext uri="{63B3BB69-23CF-44E3-9099-C40C66FF867C}">
              <a14:compatExt xmlns:a14="http://schemas.microsoft.com/office/drawing/2010/main" spid="_x0000_s262149"/>
            </a:ext>
            <a:ext uri="{FF2B5EF4-FFF2-40B4-BE49-F238E27FC236}">
              <a16:creationId xmlns:a16="http://schemas.microsoft.com/office/drawing/2014/main" id="{00000000-0008-0000-0D00-000005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1</xdr:col>
      <xdr:colOff>0</xdr:colOff>
      <xdr:row>4</xdr:row>
      <xdr:rowOff>19050</xdr:rowOff>
    </xdr:to>
    <xdr:sp macro="" textlink="">
      <xdr:nvSpPr>
        <xdr:cNvPr id="262150" name="cmdAddParamQualifier1" hidden="1">
          <a:extLst>
            <a:ext uri="{63B3BB69-23CF-44E3-9099-C40C66FF867C}">
              <a14:compatExt xmlns:a14="http://schemas.microsoft.com/office/drawing/2010/main" spid="_x0000_s262150"/>
            </a:ext>
            <a:ext uri="{FF2B5EF4-FFF2-40B4-BE49-F238E27FC236}">
              <a16:creationId xmlns:a16="http://schemas.microsoft.com/office/drawing/2014/main" id="{00000000-0008-0000-0D00-000006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2151" name="cmdCheckTechDataSheet" hidden="1">
          <a:extLst>
            <a:ext uri="{63B3BB69-23CF-44E3-9099-C40C66FF867C}">
              <a14:compatExt xmlns:a14="http://schemas.microsoft.com/office/drawing/2010/main" spid="_x0000_s262151"/>
            </a:ext>
            <a:ext uri="{FF2B5EF4-FFF2-40B4-BE49-F238E27FC236}">
              <a16:creationId xmlns:a16="http://schemas.microsoft.com/office/drawing/2014/main" id="{00000000-0008-0000-0D00-000007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25400</xdr:rowOff>
    </xdr:from>
    <xdr:to>
      <xdr:col>1</xdr:col>
      <xdr:colOff>0</xdr:colOff>
      <xdr:row>4</xdr:row>
      <xdr:rowOff>38100</xdr:rowOff>
    </xdr:to>
    <xdr:sp macro="" textlink="">
      <xdr:nvSpPr>
        <xdr:cNvPr id="262152" name="cmdAddParamQualifier2" hidden="1">
          <a:extLst>
            <a:ext uri="{63B3BB69-23CF-44E3-9099-C40C66FF867C}">
              <a14:compatExt xmlns:a14="http://schemas.microsoft.com/office/drawing/2010/main" spid="_x0000_s262152"/>
            </a:ext>
            <a:ext uri="{FF2B5EF4-FFF2-40B4-BE49-F238E27FC236}">
              <a16:creationId xmlns:a16="http://schemas.microsoft.com/office/drawing/2014/main" id="{00000000-0008-0000-0D00-0000080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99009" name="cmdTechNameAndDesc" hidden="1">
          <a:extLst>
            <a:ext uri="{63B3BB69-23CF-44E3-9099-C40C66FF867C}">
              <a14:compatExt xmlns:a14="http://schemas.microsoft.com/office/drawing/2010/main" spid="_x0000_s299009"/>
            </a:ext>
            <a:ext uri="{FF2B5EF4-FFF2-40B4-BE49-F238E27FC236}">
              <a16:creationId xmlns:a16="http://schemas.microsoft.com/office/drawing/2014/main" id="{00000000-0008-0000-0E00-000001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99010" name="cmdCommIN" hidden="1">
          <a:extLst>
            <a:ext uri="{63B3BB69-23CF-44E3-9099-C40C66FF867C}">
              <a14:compatExt xmlns:a14="http://schemas.microsoft.com/office/drawing/2010/main" spid="_x0000_s299010"/>
            </a:ext>
            <a:ext uri="{FF2B5EF4-FFF2-40B4-BE49-F238E27FC236}">
              <a16:creationId xmlns:a16="http://schemas.microsoft.com/office/drawing/2014/main" id="{00000000-0008-0000-0E00-000002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99011" name="cmdCommOUT" hidden="1">
          <a:extLst>
            <a:ext uri="{63B3BB69-23CF-44E3-9099-C40C66FF867C}">
              <a14:compatExt xmlns:a14="http://schemas.microsoft.com/office/drawing/2010/main" spid="_x0000_s299011"/>
            </a:ext>
            <a:ext uri="{FF2B5EF4-FFF2-40B4-BE49-F238E27FC236}">
              <a16:creationId xmlns:a16="http://schemas.microsoft.com/office/drawing/2014/main" id="{00000000-0008-0000-0E00-000003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299012" name="cmdAddParameter" hidden="1">
          <a:extLst>
            <a:ext uri="{63B3BB69-23CF-44E3-9099-C40C66FF867C}">
              <a14:compatExt xmlns:a14="http://schemas.microsoft.com/office/drawing/2010/main" spid="_x0000_s299012"/>
            </a:ext>
            <a:ext uri="{FF2B5EF4-FFF2-40B4-BE49-F238E27FC236}">
              <a16:creationId xmlns:a16="http://schemas.microsoft.com/office/drawing/2014/main" id="{00000000-0008-0000-0E00-000004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299013" name="cmdAddParamQualifier1" hidden="1">
          <a:extLst>
            <a:ext uri="{63B3BB69-23CF-44E3-9099-C40C66FF867C}">
              <a14:compatExt xmlns:a14="http://schemas.microsoft.com/office/drawing/2010/main" spid="_x0000_s299013"/>
            </a:ext>
            <a:ext uri="{FF2B5EF4-FFF2-40B4-BE49-F238E27FC236}">
              <a16:creationId xmlns:a16="http://schemas.microsoft.com/office/drawing/2014/main" id="{00000000-0008-0000-0E00-000005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99014" name="cmdCheckTechDataSheet" hidden="1">
          <a:extLst>
            <a:ext uri="{63B3BB69-23CF-44E3-9099-C40C66FF867C}">
              <a14:compatExt xmlns:a14="http://schemas.microsoft.com/office/drawing/2010/main" spid="_x0000_s299014"/>
            </a:ext>
            <a:ext uri="{FF2B5EF4-FFF2-40B4-BE49-F238E27FC236}">
              <a16:creationId xmlns:a16="http://schemas.microsoft.com/office/drawing/2014/main" id="{00000000-0008-0000-0E00-000006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299015" name="cmdAddParamQualifier2" hidden="1">
          <a:extLst>
            <a:ext uri="{63B3BB69-23CF-44E3-9099-C40C66FF867C}">
              <a14:compatExt xmlns:a14="http://schemas.microsoft.com/office/drawing/2010/main" spid="_x0000_s299015"/>
            </a:ext>
            <a:ext uri="{FF2B5EF4-FFF2-40B4-BE49-F238E27FC236}">
              <a16:creationId xmlns:a16="http://schemas.microsoft.com/office/drawing/2014/main" id="{00000000-0008-0000-0E00-00000790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16</xdr:col>
      <xdr:colOff>66675</xdr:colOff>
      <xdr:row>0</xdr:row>
      <xdr:rowOff>0</xdr:rowOff>
    </xdr:from>
    <xdr:to>
      <xdr:col>24</xdr:col>
      <xdr:colOff>218446</xdr:colOff>
      <xdr:row>7</xdr:row>
      <xdr:rowOff>104549</xdr:rowOff>
    </xdr:to>
    <xdr:pic>
      <xdr:nvPicPr>
        <xdr:cNvPr id="9" name="Picture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1"/>
        <a:stretch>
          <a:fillRect/>
        </a:stretch>
      </xdr:blipFill>
      <xdr:spPr>
        <a:xfrm>
          <a:off x="14763750" y="0"/>
          <a:ext cx="5028571" cy="1809524"/>
        </a:xfrm>
        <a:prstGeom prst="rect">
          <a:avLst/>
        </a:prstGeom>
      </xdr:spPr>
    </xdr:pic>
    <xdr:clientData/>
  </xdr:twoCellAnchor>
  <xdr:twoCellAnchor editAs="oneCell">
    <xdr:from>
      <xdr:col>16</xdr:col>
      <xdr:colOff>19050</xdr:colOff>
      <xdr:row>23</xdr:row>
      <xdr:rowOff>57150</xdr:rowOff>
    </xdr:from>
    <xdr:to>
      <xdr:col>24</xdr:col>
      <xdr:colOff>275583</xdr:colOff>
      <xdr:row>47</xdr:row>
      <xdr:rowOff>47198</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4716125" y="4048125"/>
          <a:ext cx="5133333" cy="34190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263172" name="cmdTechNameAndDesc" hidden="1">
          <a:extLst>
            <a:ext uri="{63B3BB69-23CF-44E3-9099-C40C66FF867C}">
              <a14:compatExt xmlns:a14="http://schemas.microsoft.com/office/drawing/2010/main" spid="_x0000_s263172"/>
            </a:ext>
            <a:ext uri="{FF2B5EF4-FFF2-40B4-BE49-F238E27FC236}">
              <a16:creationId xmlns:a16="http://schemas.microsoft.com/office/drawing/2014/main" id="{00000000-0008-0000-0F00-000004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263173" name="cmdCommIN" hidden="1">
          <a:extLst>
            <a:ext uri="{63B3BB69-23CF-44E3-9099-C40C66FF867C}">
              <a14:compatExt xmlns:a14="http://schemas.microsoft.com/office/drawing/2010/main" spid="_x0000_s263173"/>
            </a:ext>
            <a:ext uri="{FF2B5EF4-FFF2-40B4-BE49-F238E27FC236}">
              <a16:creationId xmlns:a16="http://schemas.microsoft.com/office/drawing/2014/main" id="{00000000-0008-0000-0F00-000005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263174" name="cmdCommOUT" hidden="1">
          <a:extLst>
            <a:ext uri="{63B3BB69-23CF-44E3-9099-C40C66FF867C}">
              <a14:compatExt xmlns:a14="http://schemas.microsoft.com/office/drawing/2010/main" spid="_x0000_s263174"/>
            </a:ext>
            <a:ext uri="{FF2B5EF4-FFF2-40B4-BE49-F238E27FC236}">
              <a16:creationId xmlns:a16="http://schemas.microsoft.com/office/drawing/2014/main" id="{00000000-0008-0000-0F00-000006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3</xdr:row>
      <xdr:rowOff>0</xdr:rowOff>
    </xdr:to>
    <xdr:sp macro="" textlink="">
      <xdr:nvSpPr>
        <xdr:cNvPr id="263175" name="cmdAddParameter" hidden="1">
          <a:extLst>
            <a:ext uri="{63B3BB69-23CF-44E3-9099-C40C66FF867C}">
              <a14:compatExt xmlns:a14="http://schemas.microsoft.com/office/drawing/2010/main" spid="_x0000_s263175"/>
            </a:ext>
            <a:ext uri="{FF2B5EF4-FFF2-40B4-BE49-F238E27FC236}">
              <a16:creationId xmlns:a16="http://schemas.microsoft.com/office/drawing/2014/main" id="{00000000-0008-0000-0F00-000007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1</xdr:col>
      <xdr:colOff>0</xdr:colOff>
      <xdr:row>4</xdr:row>
      <xdr:rowOff>19050</xdr:rowOff>
    </xdr:to>
    <xdr:sp macro="" textlink="">
      <xdr:nvSpPr>
        <xdr:cNvPr id="263176" name="cmdAddParamQualifier1" hidden="1">
          <a:extLst>
            <a:ext uri="{63B3BB69-23CF-44E3-9099-C40C66FF867C}">
              <a14:compatExt xmlns:a14="http://schemas.microsoft.com/office/drawing/2010/main" spid="_x0000_s263176"/>
            </a:ext>
            <a:ext uri="{FF2B5EF4-FFF2-40B4-BE49-F238E27FC236}">
              <a16:creationId xmlns:a16="http://schemas.microsoft.com/office/drawing/2014/main" id="{00000000-0008-0000-0F00-000008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263177" name="cmdCheckTechDataSheet" hidden="1">
          <a:extLst>
            <a:ext uri="{63B3BB69-23CF-44E3-9099-C40C66FF867C}">
              <a14:compatExt xmlns:a14="http://schemas.microsoft.com/office/drawing/2010/main" spid="_x0000_s263177"/>
            </a:ext>
            <a:ext uri="{FF2B5EF4-FFF2-40B4-BE49-F238E27FC236}">
              <a16:creationId xmlns:a16="http://schemas.microsoft.com/office/drawing/2014/main" id="{00000000-0008-0000-0F00-000009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25400</xdr:rowOff>
    </xdr:from>
    <xdr:to>
      <xdr:col>1</xdr:col>
      <xdr:colOff>0</xdr:colOff>
      <xdr:row>4</xdr:row>
      <xdr:rowOff>38100</xdr:rowOff>
    </xdr:to>
    <xdr:sp macro="" textlink="">
      <xdr:nvSpPr>
        <xdr:cNvPr id="263178" name="cmdAddParamQualifier2" hidden="1">
          <a:extLst>
            <a:ext uri="{63B3BB69-23CF-44E3-9099-C40C66FF867C}">
              <a14:compatExt xmlns:a14="http://schemas.microsoft.com/office/drawing/2010/main" spid="_x0000_s263178"/>
            </a:ext>
            <a:ext uri="{FF2B5EF4-FFF2-40B4-BE49-F238E27FC236}">
              <a16:creationId xmlns:a16="http://schemas.microsoft.com/office/drawing/2014/main" id="{00000000-0008-0000-0F00-00000A04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264193" name="cmdAddParameter" hidden="1">
          <a:extLst>
            <a:ext uri="{63B3BB69-23CF-44E3-9099-C40C66FF867C}">
              <a14:compatExt xmlns:a14="http://schemas.microsoft.com/office/drawing/2010/main" spid="_x0000_s264193"/>
            </a:ext>
            <a:ext uri="{FF2B5EF4-FFF2-40B4-BE49-F238E27FC236}">
              <a16:creationId xmlns:a16="http://schemas.microsoft.com/office/drawing/2014/main" id="{00000000-0008-0000-1100-000001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264194" name="cmdCommNameAndDesc" hidden="1">
          <a:extLst>
            <a:ext uri="{63B3BB69-23CF-44E3-9099-C40C66FF867C}">
              <a14:compatExt xmlns:a14="http://schemas.microsoft.com/office/drawing/2010/main" spid="_x0000_s264194"/>
            </a:ext>
            <a:ext uri="{FF2B5EF4-FFF2-40B4-BE49-F238E27FC236}">
              <a16:creationId xmlns:a16="http://schemas.microsoft.com/office/drawing/2014/main" id="{00000000-0008-0000-1100-000002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264195" name="cmdAddParamQualifier1" hidden="1">
          <a:extLst>
            <a:ext uri="{63B3BB69-23CF-44E3-9099-C40C66FF867C}">
              <a14:compatExt xmlns:a14="http://schemas.microsoft.com/office/drawing/2010/main" spid="_x0000_s264195"/>
            </a:ext>
            <a:ext uri="{FF2B5EF4-FFF2-40B4-BE49-F238E27FC236}">
              <a16:creationId xmlns:a16="http://schemas.microsoft.com/office/drawing/2014/main" id="{00000000-0008-0000-1100-000003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12700</xdr:rowOff>
    </xdr:to>
    <xdr:sp macro="" textlink="">
      <xdr:nvSpPr>
        <xdr:cNvPr id="264196" name="cmdCheckCommDataSheet" hidden="1">
          <a:extLst>
            <a:ext uri="{63B3BB69-23CF-44E3-9099-C40C66FF867C}">
              <a14:compatExt xmlns:a14="http://schemas.microsoft.com/office/drawing/2010/main" spid="_x0000_s264196"/>
            </a:ext>
            <a:ext uri="{FF2B5EF4-FFF2-40B4-BE49-F238E27FC236}">
              <a16:creationId xmlns:a16="http://schemas.microsoft.com/office/drawing/2014/main" id="{00000000-0008-0000-1100-000004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264197" name="cmdAddParamQualifier2" hidden="1">
          <a:extLst>
            <a:ext uri="{63B3BB69-23CF-44E3-9099-C40C66FF867C}">
              <a14:compatExt xmlns:a14="http://schemas.microsoft.com/office/drawing/2010/main" spid="_x0000_s264197"/>
            </a:ext>
            <a:ext uri="{FF2B5EF4-FFF2-40B4-BE49-F238E27FC236}">
              <a16:creationId xmlns:a16="http://schemas.microsoft.com/office/drawing/2014/main" id="{00000000-0008-0000-1100-0000050804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14</xdr:col>
      <xdr:colOff>95250</xdr:colOff>
      <xdr:row>24</xdr:row>
      <xdr:rowOff>120709</xdr:rowOff>
    </xdr:from>
    <xdr:to>
      <xdr:col>22</xdr:col>
      <xdr:colOff>150617</xdr:colOff>
      <xdr:row>29</xdr:row>
      <xdr:rowOff>141774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9172575" y="1939984"/>
          <a:ext cx="5627492" cy="736307"/>
        </a:xfrm>
        <a:prstGeom prst="rect">
          <a:avLst/>
        </a:prstGeom>
      </xdr:spPr>
    </xdr:pic>
    <xdr:clientData/>
  </xdr:twoCellAnchor>
  <xdr:twoCellAnchor editAs="oneCell">
    <xdr:from>
      <xdr:col>14</xdr:col>
      <xdr:colOff>9525</xdr:colOff>
      <xdr:row>52</xdr:row>
      <xdr:rowOff>76200</xdr:rowOff>
    </xdr:from>
    <xdr:to>
      <xdr:col>24</xdr:col>
      <xdr:colOff>180087</xdr:colOff>
      <xdr:row>74</xdr:row>
      <xdr:rowOff>18664</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9086850" y="7658100"/>
          <a:ext cx="7104762" cy="3085714"/>
        </a:xfrm>
        <a:prstGeom prst="rect">
          <a:avLst/>
        </a:prstGeom>
      </xdr:spPr>
    </xdr:pic>
    <xdr:clientData/>
  </xdr:twoCellAnchor>
  <xdr:twoCellAnchor editAs="oneCell">
    <xdr:from>
      <xdr:col>27</xdr:col>
      <xdr:colOff>0</xdr:colOff>
      <xdr:row>53</xdr:row>
      <xdr:rowOff>0</xdr:rowOff>
    </xdr:from>
    <xdr:to>
      <xdr:col>37</xdr:col>
      <xdr:colOff>484976</xdr:colOff>
      <xdr:row>90</xdr:row>
      <xdr:rowOff>113625</xdr:rowOff>
    </xdr:to>
    <xdr:pic>
      <xdr:nvPicPr>
        <xdr:cNvPr id="4" name="Picture 3">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17630775" y="8010525"/>
          <a:ext cx="6390476" cy="540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390145" name="cmdTechNameAndDesc" hidden="1">
          <a:extLst>
            <a:ext uri="{63B3BB69-23CF-44E3-9099-C40C66FF867C}">
              <a14:compatExt xmlns:a14="http://schemas.microsoft.com/office/drawing/2010/main" spid="_x0000_s390145"/>
            </a:ext>
            <a:ext uri="{FF2B5EF4-FFF2-40B4-BE49-F238E27FC236}">
              <a16:creationId xmlns:a16="http://schemas.microsoft.com/office/drawing/2014/main" id="{00000000-0008-0000-1200-000001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390146" name="cmdCommIN" hidden="1">
          <a:extLst>
            <a:ext uri="{63B3BB69-23CF-44E3-9099-C40C66FF867C}">
              <a14:compatExt xmlns:a14="http://schemas.microsoft.com/office/drawing/2010/main" spid="_x0000_s390146"/>
            </a:ext>
            <a:ext uri="{FF2B5EF4-FFF2-40B4-BE49-F238E27FC236}">
              <a16:creationId xmlns:a16="http://schemas.microsoft.com/office/drawing/2014/main" id="{00000000-0008-0000-1200-000002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390147" name="cmdCommOUT" hidden="1">
          <a:extLst>
            <a:ext uri="{63B3BB69-23CF-44E3-9099-C40C66FF867C}">
              <a14:compatExt xmlns:a14="http://schemas.microsoft.com/office/drawing/2010/main" spid="_x0000_s390147"/>
            </a:ext>
            <a:ext uri="{FF2B5EF4-FFF2-40B4-BE49-F238E27FC236}">
              <a16:creationId xmlns:a16="http://schemas.microsoft.com/office/drawing/2014/main" id="{00000000-0008-0000-1200-000003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390148" name="cmdAddParameter" hidden="1">
          <a:extLst>
            <a:ext uri="{63B3BB69-23CF-44E3-9099-C40C66FF867C}">
              <a14:compatExt xmlns:a14="http://schemas.microsoft.com/office/drawing/2010/main" spid="_x0000_s390148"/>
            </a:ext>
            <a:ext uri="{FF2B5EF4-FFF2-40B4-BE49-F238E27FC236}">
              <a16:creationId xmlns:a16="http://schemas.microsoft.com/office/drawing/2014/main" id="{00000000-0008-0000-1200-000004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390149" name="cmdAddParamQualifier1" hidden="1">
          <a:extLst>
            <a:ext uri="{63B3BB69-23CF-44E3-9099-C40C66FF867C}">
              <a14:compatExt xmlns:a14="http://schemas.microsoft.com/office/drawing/2010/main" spid="_x0000_s390149"/>
            </a:ext>
            <a:ext uri="{FF2B5EF4-FFF2-40B4-BE49-F238E27FC236}">
              <a16:creationId xmlns:a16="http://schemas.microsoft.com/office/drawing/2014/main" id="{00000000-0008-0000-1200-000005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390150" name="cmdCheckTechDataSheet" hidden="1">
          <a:extLst>
            <a:ext uri="{63B3BB69-23CF-44E3-9099-C40C66FF867C}">
              <a14:compatExt xmlns:a14="http://schemas.microsoft.com/office/drawing/2010/main" spid="_x0000_s390150"/>
            </a:ext>
            <a:ext uri="{FF2B5EF4-FFF2-40B4-BE49-F238E27FC236}">
              <a16:creationId xmlns:a16="http://schemas.microsoft.com/office/drawing/2014/main" id="{00000000-0008-0000-1200-000006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390151" name="cmdAddParamQualifier2" hidden="1">
          <a:extLst>
            <a:ext uri="{63B3BB69-23CF-44E3-9099-C40C66FF867C}">
              <a14:compatExt xmlns:a14="http://schemas.microsoft.com/office/drawing/2010/main" spid="_x0000_s390151"/>
            </a:ext>
            <a:ext uri="{FF2B5EF4-FFF2-40B4-BE49-F238E27FC236}">
              <a16:creationId xmlns:a16="http://schemas.microsoft.com/office/drawing/2014/main" id="{00000000-0008-0000-1200-000007F405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36</xdr:col>
      <xdr:colOff>0</xdr:colOff>
      <xdr:row>7</xdr:row>
      <xdr:rowOff>0</xdr:rowOff>
    </xdr:from>
    <xdr:to>
      <xdr:col>52</xdr:col>
      <xdr:colOff>235151</xdr:colOff>
      <xdr:row>57</xdr:row>
      <xdr:rowOff>96916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2773409" y="1714500"/>
          <a:ext cx="9933333" cy="745714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603137" name="cmdTechNameAndDesc" hidden="1">
          <a:extLst>
            <a:ext uri="{63B3BB69-23CF-44E3-9099-C40C66FF867C}">
              <a14:compatExt xmlns:a14="http://schemas.microsoft.com/office/drawing/2010/main" spid="_x0000_s603137"/>
            </a:ext>
            <a:ext uri="{FF2B5EF4-FFF2-40B4-BE49-F238E27FC236}">
              <a16:creationId xmlns:a16="http://schemas.microsoft.com/office/drawing/2014/main" id="{00000000-0008-0000-1300-000001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603138" name="cmdCommIN" hidden="1">
          <a:extLst>
            <a:ext uri="{63B3BB69-23CF-44E3-9099-C40C66FF867C}">
              <a14:compatExt xmlns:a14="http://schemas.microsoft.com/office/drawing/2010/main" spid="_x0000_s603138"/>
            </a:ext>
            <a:ext uri="{FF2B5EF4-FFF2-40B4-BE49-F238E27FC236}">
              <a16:creationId xmlns:a16="http://schemas.microsoft.com/office/drawing/2014/main" id="{00000000-0008-0000-1300-000002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603139" name="cmdCommOUT" hidden="1">
          <a:extLst>
            <a:ext uri="{63B3BB69-23CF-44E3-9099-C40C66FF867C}">
              <a14:compatExt xmlns:a14="http://schemas.microsoft.com/office/drawing/2010/main" spid="_x0000_s603139"/>
            </a:ext>
            <a:ext uri="{FF2B5EF4-FFF2-40B4-BE49-F238E27FC236}">
              <a16:creationId xmlns:a16="http://schemas.microsoft.com/office/drawing/2014/main" id="{00000000-0008-0000-1300-000003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603140" name="cmdAddParameter" hidden="1">
          <a:extLst>
            <a:ext uri="{63B3BB69-23CF-44E3-9099-C40C66FF867C}">
              <a14:compatExt xmlns:a14="http://schemas.microsoft.com/office/drawing/2010/main" spid="_x0000_s603140"/>
            </a:ext>
            <a:ext uri="{FF2B5EF4-FFF2-40B4-BE49-F238E27FC236}">
              <a16:creationId xmlns:a16="http://schemas.microsoft.com/office/drawing/2014/main" id="{00000000-0008-0000-1300-000004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603141" name="cmdAddParamQualifier1" hidden="1">
          <a:extLst>
            <a:ext uri="{63B3BB69-23CF-44E3-9099-C40C66FF867C}">
              <a14:compatExt xmlns:a14="http://schemas.microsoft.com/office/drawing/2010/main" spid="_x0000_s603141"/>
            </a:ext>
            <a:ext uri="{FF2B5EF4-FFF2-40B4-BE49-F238E27FC236}">
              <a16:creationId xmlns:a16="http://schemas.microsoft.com/office/drawing/2014/main" id="{00000000-0008-0000-1300-000005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603142" name="cmdCheckTechDataSheet" hidden="1">
          <a:extLst>
            <a:ext uri="{63B3BB69-23CF-44E3-9099-C40C66FF867C}">
              <a14:compatExt xmlns:a14="http://schemas.microsoft.com/office/drawing/2010/main" spid="_x0000_s603142"/>
            </a:ext>
            <a:ext uri="{FF2B5EF4-FFF2-40B4-BE49-F238E27FC236}">
              <a16:creationId xmlns:a16="http://schemas.microsoft.com/office/drawing/2014/main" id="{00000000-0008-0000-1300-000006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603143" name="cmdAddParamQualifier2" hidden="1">
          <a:extLst>
            <a:ext uri="{63B3BB69-23CF-44E3-9099-C40C66FF867C}">
              <a14:compatExt xmlns:a14="http://schemas.microsoft.com/office/drawing/2010/main" spid="_x0000_s603143"/>
            </a:ext>
            <a:ext uri="{FF2B5EF4-FFF2-40B4-BE49-F238E27FC236}">
              <a16:creationId xmlns:a16="http://schemas.microsoft.com/office/drawing/2014/main" id="{00000000-0008-0000-1300-0000073409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496641" name="cmdTechNameAndDesc" hidden="1">
          <a:extLst>
            <a:ext uri="{63B3BB69-23CF-44E3-9099-C40C66FF867C}">
              <a14:compatExt xmlns:a14="http://schemas.microsoft.com/office/drawing/2010/main" spid="_x0000_s496641"/>
            </a:ext>
            <a:ext uri="{FF2B5EF4-FFF2-40B4-BE49-F238E27FC236}">
              <a16:creationId xmlns:a16="http://schemas.microsoft.com/office/drawing/2014/main" id="{00000000-0008-0000-1400-000001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496642" name="cmdCommIN" hidden="1">
          <a:extLst>
            <a:ext uri="{63B3BB69-23CF-44E3-9099-C40C66FF867C}">
              <a14:compatExt xmlns:a14="http://schemas.microsoft.com/office/drawing/2010/main" spid="_x0000_s496642"/>
            </a:ext>
            <a:ext uri="{FF2B5EF4-FFF2-40B4-BE49-F238E27FC236}">
              <a16:creationId xmlns:a16="http://schemas.microsoft.com/office/drawing/2014/main" id="{00000000-0008-0000-1400-000002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496643" name="cmdCommOUT" hidden="1">
          <a:extLst>
            <a:ext uri="{63B3BB69-23CF-44E3-9099-C40C66FF867C}">
              <a14:compatExt xmlns:a14="http://schemas.microsoft.com/office/drawing/2010/main" spid="_x0000_s496643"/>
            </a:ext>
            <a:ext uri="{FF2B5EF4-FFF2-40B4-BE49-F238E27FC236}">
              <a16:creationId xmlns:a16="http://schemas.microsoft.com/office/drawing/2014/main" id="{00000000-0008-0000-1400-000003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496644" name="cmdAddParameter" hidden="1">
          <a:extLst>
            <a:ext uri="{63B3BB69-23CF-44E3-9099-C40C66FF867C}">
              <a14:compatExt xmlns:a14="http://schemas.microsoft.com/office/drawing/2010/main" spid="_x0000_s496644"/>
            </a:ext>
            <a:ext uri="{FF2B5EF4-FFF2-40B4-BE49-F238E27FC236}">
              <a16:creationId xmlns:a16="http://schemas.microsoft.com/office/drawing/2014/main" id="{00000000-0008-0000-1400-000004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496645" name="cmdAddParamQualifier1" hidden="1">
          <a:extLst>
            <a:ext uri="{63B3BB69-23CF-44E3-9099-C40C66FF867C}">
              <a14:compatExt xmlns:a14="http://schemas.microsoft.com/office/drawing/2010/main" spid="_x0000_s496645"/>
            </a:ext>
            <a:ext uri="{FF2B5EF4-FFF2-40B4-BE49-F238E27FC236}">
              <a16:creationId xmlns:a16="http://schemas.microsoft.com/office/drawing/2014/main" id="{00000000-0008-0000-1400-000005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496646" name="cmdCheckTechDataSheet" hidden="1">
          <a:extLst>
            <a:ext uri="{63B3BB69-23CF-44E3-9099-C40C66FF867C}">
              <a14:compatExt xmlns:a14="http://schemas.microsoft.com/office/drawing/2010/main" spid="_x0000_s496646"/>
            </a:ext>
            <a:ext uri="{FF2B5EF4-FFF2-40B4-BE49-F238E27FC236}">
              <a16:creationId xmlns:a16="http://schemas.microsoft.com/office/drawing/2014/main" id="{00000000-0008-0000-1400-000006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496647" name="cmdAddParamQualifier2" hidden="1">
          <a:extLst>
            <a:ext uri="{63B3BB69-23CF-44E3-9099-C40C66FF867C}">
              <a14:compatExt xmlns:a14="http://schemas.microsoft.com/office/drawing/2010/main" spid="_x0000_s496647"/>
            </a:ext>
            <a:ext uri="{FF2B5EF4-FFF2-40B4-BE49-F238E27FC236}">
              <a16:creationId xmlns:a16="http://schemas.microsoft.com/office/drawing/2014/main" id="{00000000-0008-0000-1400-0000079407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29409" name="cmdTechNameAndDesc" hidden="1">
          <a:extLst>
            <a:ext uri="{63B3BB69-23CF-44E3-9099-C40C66FF867C}">
              <a14:compatExt xmlns:a14="http://schemas.microsoft.com/office/drawing/2010/main" spid="_x0000_s529409"/>
            </a:ext>
            <a:ext uri="{FF2B5EF4-FFF2-40B4-BE49-F238E27FC236}">
              <a16:creationId xmlns:a16="http://schemas.microsoft.com/office/drawing/2014/main" id="{00000000-0008-0000-1500-000001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529410" name="cmdCommIN" hidden="1">
          <a:extLst>
            <a:ext uri="{63B3BB69-23CF-44E3-9099-C40C66FF867C}">
              <a14:compatExt xmlns:a14="http://schemas.microsoft.com/office/drawing/2010/main" spid="_x0000_s529410"/>
            </a:ext>
            <a:ext uri="{FF2B5EF4-FFF2-40B4-BE49-F238E27FC236}">
              <a16:creationId xmlns:a16="http://schemas.microsoft.com/office/drawing/2014/main" id="{00000000-0008-0000-1500-000002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29411" name="cmdCommOUT" hidden="1">
          <a:extLst>
            <a:ext uri="{63B3BB69-23CF-44E3-9099-C40C66FF867C}">
              <a14:compatExt xmlns:a14="http://schemas.microsoft.com/office/drawing/2010/main" spid="_x0000_s529411"/>
            </a:ext>
            <a:ext uri="{FF2B5EF4-FFF2-40B4-BE49-F238E27FC236}">
              <a16:creationId xmlns:a16="http://schemas.microsoft.com/office/drawing/2014/main" id="{00000000-0008-0000-1500-000003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29412" name="cmdAddParameter" hidden="1">
          <a:extLst>
            <a:ext uri="{63B3BB69-23CF-44E3-9099-C40C66FF867C}">
              <a14:compatExt xmlns:a14="http://schemas.microsoft.com/office/drawing/2010/main" spid="_x0000_s529412"/>
            </a:ext>
            <a:ext uri="{FF2B5EF4-FFF2-40B4-BE49-F238E27FC236}">
              <a16:creationId xmlns:a16="http://schemas.microsoft.com/office/drawing/2014/main" id="{00000000-0008-0000-1500-000004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29413" name="cmdAddParamQualifier1" hidden="1">
          <a:extLst>
            <a:ext uri="{63B3BB69-23CF-44E3-9099-C40C66FF867C}">
              <a14:compatExt xmlns:a14="http://schemas.microsoft.com/office/drawing/2010/main" spid="_x0000_s529413"/>
            </a:ext>
            <a:ext uri="{FF2B5EF4-FFF2-40B4-BE49-F238E27FC236}">
              <a16:creationId xmlns:a16="http://schemas.microsoft.com/office/drawing/2014/main" id="{00000000-0008-0000-1500-000005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29414" name="cmdCheckTechDataSheet" hidden="1">
          <a:extLst>
            <a:ext uri="{63B3BB69-23CF-44E3-9099-C40C66FF867C}">
              <a14:compatExt xmlns:a14="http://schemas.microsoft.com/office/drawing/2010/main" spid="_x0000_s529414"/>
            </a:ext>
            <a:ext uri="{FF2B5EF4-FFF2-40B4-BE49-F238E27FC236}">
              <a16:creationId xmlns:a16="http://schemas.microsoft.com/office/drawing/2014/main" id="{00000000-0008-0000-1500-000006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29415" name="cmdAddParamQualifier2" hidden="1">
          <a:extLst>
            <a:ext uri="{63B3BB69-23CF-44E3-9099-C40C66FF867C}">
              <a14:compatExt xmlns:a14="http://schemas.microsoft.com/office/drawing/2010/main" spid="_x0000_s529415"/>
            </a:ext>
            <a:ext uri="{FF2B5EF4-FFF2-40B4-BE49-F238E27FC236}">
              <a16:creationId xmlns:a16="http://schemas.microsoft.com/office/drawing/2014/main" id="{00000000-0008-0000-1500-0000071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850900</xdr:colOff>
      <xdr:row>2</xdr:row>
      <xdr:rowOff>215900</xdr:rowOff>
    </xdr:to>
    <xdr:sp macro="" textlink="">
      <xdr:nvSpPr>
        <xdr:cNvPr id="562177" name="cmdTechNameAndDesc" hidden="1">
          <a:extLst>
            <a:ext uri="{63B3BB69-23CF-44E3-9099-C40C66FF867C}">
              <a14:compatExt xmlns:a14="http://schemas.microsoft.com/office/drawing/2010/main" spid="_x0000_s562177"/>
            </a:ext>
            <a:ext uri="{FF2B5EF4-FFF2-40B4-BE49-F238E27FC236}">
              <a16:creationId xmlns:a16="http://schemas.microsoft.com/office/drawing/2014/main" id="{00000000-0008-0000-1700-000001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1</xdr:row>
      <xdr:rowOff>114300</xdr:rowOff>
    </xdr:from>
    <xdr:to>
      <xdr:col>3</xdr:col>
      <xdr:colOff>622300</xdr:colOff>
      <xdr:row>2</xdr:row>
      <xdr:rowOff>215900</xdr:rowOff>
    </xdr:to>
    <xdr:sp macro="" textlink="">
      <xdr:nvSpPr>
        <xdr:cNvPr id="562178" name="cmdCommIN" hidden="1">
          <a:extLst>
            <a:ext uri="{63B3BB69-23CF-44E3-9099-C40C66FF867C}">
              <a14:compatExt xmlns:a14="http://schemas.microsoft.com/office/drawing/2010/main" spid="_x0000_s562178"/>
            </a:ext>
            <a:ext uri="{FF2B5EF4-FFF2-40B4-BE49-F238E27FC236}">
              <a16:creationId xmlns:a16="http://schemas.microsoft.com/office/drawing/2014/main" id="{00000000-0008-0000-1700-000002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4</xdr:col>
      <xdr:colOff>622300</xdr:colOff>
      <xdr:row>2</xdr:row>
      <xdr:rowOff>215900</xdr:rowOff>
    </xdr:to>
    <xdr:sp macro="" textlink="">
      <xdr:nvSpPr>
        <xdr:cNvPr id="562179" name="cmdCommOUT" hidden="1">
          <a:extLst>
            <a:ext uri="{63B3BB69-23CF-44E3-9099-C40C66FF867C}">
              <a14:compatExt xmlns:a14="http://schemas.microsoft.com/office/drawing/2010/main" spid="_x0000_s562179"/>
            </a:ext>
            <a:ext uri="{FF2B5EF4-FFF2-40B4-BE49-F238E27FC236}">
              <a16:creationId xmlns:a16="http://schemas.microsoft.com/office/drawing/2014/main" id="{00000000-0008-0000-1700-000003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0</xdr:colOff>
      <xdr:row>2</xdr:row>
      <xdr:rowOff>431800</xdr:rowOff>
    </xdr:to>
    <xdr:sp macro="" textlink="">
      <xdr:nvSpPr>
        <xdr:cNvPr id="562180" name="cmdAddParameter" hidden="1">
          <a:extLst>
            <a:ext uri="{63B3BB69-23CF-44E3-9099-C40C66FF867C}">
              <a14:compatExt xmlns:a14="http://schemas.microsoft.com/office/drawing/2010/main" spid="_x0000_s562180"/>
            </a:ext>
            <a:ext uri="{FF2B5EF4-FFF2-40B4-BE49-F238E27FC236}">
              <a16:creationId xmlns:a16="http://schemas.microsoft.com/office/drawing/2014/main" id="{00000000-0008-0000-1700-000004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0</xdr:colOff>
      <xdr:row>4</xdr:row>
      <xdr:rowOff>139700</xdr:rowOff>
    </xdr:to>
    <xdr:sp macro="" textlink="">
      <xdr:nvSpPr>
        <xdr:cNvPr id="562181" name="cmdAddParamQualifier1" hidden="1">
          <a:extLst>
            <a:ext uri="{63B3BB69-23CF-44E3-9099-C40C66FF867C}">
              <a14:compatExt xmlns:a14="http://schemas.microsoft.com/office/drawing/2010/main" spid="_x0000_s562181"/>
            </a:ext>
            <a:ext uri="{FF2B5EF4-FFF2-40B4-BE49-F238E27FC236}">
              <a16:creationId xmlns:a16="http://schemas.microsoft.com/office/drawing/2014/main" id="{00000000-0008-0000-1700-000005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0</xdr:colOff>
      <xdr:row>2</xdr:row>
      <xdr:rowOff>215900</xdr:rowOff>
    </xdr:to>
    <xdr:sp macro="" textlink="">
      <xdr:nvSpPr>
        <xdr:cNvPr id="562182" name="cmdCheckTechDataSheet" hidden="1">
          <a:extLst>
            <a:ext uri="{63B3BB69-23CF-44E3-9099-C40C66FF867C}">
              <a14:compatExt xmlns:a14="http://schemas.microsoft.com/office/drawing/2010/main" spid="_x0000_s562182"/>
            </a:ext>
            <a:ext uri="{FF2B5EF4-FFF2-40B4-BE49-F238E27FC236}">
              <a16:creationId xmlns:a16="http://schemas.microsoft.com/office/drawing/2014/main" id="{00000000-0008-0000-1700-000006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0</xdr:colOff>
      <xdr:row>6</xdr:row>
      <xdr:rowOff>38100</xdr:rowOff>
    </xdr:to>
    <xdr:sp macro="" textlink="">
      <xdr:nvSpPr>
        <xdr:cNvPr id="562183" name="cmdAddParamQualifier2" hidden="1">
          <a:extLst>
            <a:ext uri="{63B3BB69-23CF-44E3-9099-C40C66FF867C}">
              <a14:compatExt xmlns:a14="http://schemas.microsoft.com/office/drawing/2010/main" spid="_x0000_s562183"/>
            </a:ext>
            <a:ext uri="{FF2B5EF4-FFF2-40B4-BE49-F238E27FC236}">
              <a16:creationId xmlns:a16="http://schemas.microsoft.com/office/drawing/2014/main" id="{00000000-0008-0000-1700-0000079408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wsDr>
</file>

<file path=xl/drawings/drawing15.xml><?xml version="1.0" encoding="utf-8"?>
<xdr:wsDr xmlns:xdr="http://schemas.openxmlformats.org/drawingml/2006/spreadsheetDrawing" xmlns:a="http://schemas.openxmlformats.org/drawingml/2006/main">
  <xdr:oneCellAnchor>
    <xdr:from>
      <xdr:col>42</xdr:col>
      <xdr:colOff>398417</xdr:colOff>
      <xdr:row>178</xdr:row>
      <xdr:rowOff>29391</xdr:rowOff>
    </xdr:from>
    <xdr:ext cx="10809524" cy="5688888"/>
    <xdr:pic>
      <xdr:nvPicPr>
        <xdr:cNvPr id="2" name="Picture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2206474" y="30019534"/>
          <a:ext cx="10809524" cy="5688888"/>
        </a:xfrm>
        <a:prstGeom prst="rect">
          <a:avLst/>
        </a:prstGeom>
      </xdr:spPr>
    </xdr:pic>
    <xdr:clientData/>
  </xdr:oneCellAnchor>
  <xdr:twoCellAnchor editAs="oneCell">
    <xdr:from>
      <xdr:col>68</xdr:col>
      <xdr:colOff>0</xdr:colOff>
      <xdr:row>98</xdr:row>
      <xdr:rowOff>0</xdr:rowOff>
    </xdr:from>
    <xdr:to>
      <xdr:col>87</xdr:col>
      <xdr:colOff>455695</xdr:colOff>
      <xdr:row>141</xdr:row>
      <xdr:rowOff>4006</xdr:rowOff>
    </xdr:to>
    <xdr:pic>
      <xdr:nvPicPr>
        <xdr:cNvPr id="3" name="Picture 2">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47320200" y="16640175"/>
          <a:ext cx="12038095" cy="7133333"/>
        </a:xfrm>
        <a:prstGeom prst="rect">
          <a:avLst/>
        </a:prstGeom>
      </xdr:spPr>
    </xdr:pic>
    <xdr:clientData/>
  </xdr:twoCellAnchor>
  <xdr:twoCellAnchor editAs="oneCell">
    <xdr:from>
      <xdr:col>42</xdr:col>
      <xdr:colOff>110762</xdr:colOff>
      <xdr:row>113</xdr:row>
      <xdr:rowOff>132534</xdr:rowOff>
    </xdr:from>
    <xdr:to>
      <xdr:col>51</xdr:col>
      <xdr:colOff>529276</xdr:colOff>
      <xdr:row>133</xdr:row>
      <xdr:rowOff>4088</xdr:rowOff>
    </xdr:to>
    <xdr:pic>
      <xdr:nvPicPr>
        <xdr:cNvPr id="4" name="Picture 3" descr="A graph with numbers and lines&#10;&#10;Description automatically generated">
          <a:extLst>
            <a:ext uri="{FF2B5EF4-FFF2-40B4-BE49-F238E27FC236}">
              <a16:creationId xmlns:a16="http://schemas.microsoft.com/office/drawing/2014/main" id="{2DF243A9-EBAE-3A36-75E2-B78EB3133894}"/>
            </a:ext>
          </a:extLst>
        </xdr:cNvPr>
        <xdr:cNvPicPr>
          <a:picLocks noChangeAspect="1"/>
        </xdr:cNvPicPr>
      </xdr:nvPicPr>
      <xdr:blipFill>
        <a:blip xmlns:r="http://schemas.openxmlformats.org/officeDocument/2006/relationships" r:embed="rId3"/>
        <a:stretch>
          <a:fillRect/>
        </a:stretch>
      </xdr:blipFill>
      <xdr:spPr>
        <a:xfrm>
          <a:off x="31918819" y="19411134"/>
          <a:ext cx="5803133" cy="32044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16</xdr:col>
      <xdr:colOff>0</xdr:colOff>
      <xdr:row>4</xdr:row>
      <xdr:rowOff>0</xdr:rowOff>
    </xdr:from>
    <xdr:to>
      <xdr:col>26</xdr:col>
      <xdr:colOff>503952</xdr:colOff>
      <xdr:row>21</xdr:row>
      <xdr:rowOff>123465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2792075" y="647700"/>
          <a:ext cx="6980952" cy="28761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oneCellAnchor>
    <xdr:from>
      <xdr:col>1</xdr:col>
      <xdr:colOff>1</xdr:colOff>
      <xdr:row>56</xdr:row>
      <xdr:rowOff>0</xdr:rowOff>
    </xdr:from>
    <xdr:ext cx="7014622" cy="4333875"/>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8501" y="9245600"/>
          <a:ext cx="7014622" cy="43338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65</xdr:row>
      <xdr:rowOff>0</xdr:rowOff>
    </xdr:from>
    <xdr:ext cx="10734675" cy="3914775"/>
    <xdr:pic>
      <xdr:nvPicPr>
        <xdr:cNvPr id="3" name="Picture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66225" y="10731500"/>
          <a:ext cx="10734675" cy="391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85725</xdr:colOff>
      <xdr:row>51</xdr:row>
      <xdr:rowOff>7410</xdr:rowOff>
    </xdr:from>
    <xdr:ext cx="8810625" cy="2411940"/>
    <xdr:pic>
      <xdr:nvPicPr>
        <xdr:cNvPr id="4" name="Picture 3">
          <a:extLst>
            <a:ext uri="{FF2B5EF4-FFF2-40B4-BE49-F238E27FC236}">
              <a16:creationId xmlns:a16="http://schemas.microsoft.com/office/drawing/2014/main" id="{00000000-0008-0000-1C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66225" y="8427510"/>
          <a:ext cx="8810625" cy="241194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523875</xdr:colOff>
      <xdr:row>91</xdr:row>
      <xdr:rowOff>57150</xdr:rowOff>
    </xdr:from>
    <xdr:ext cx="8562975" cy="5901819"/>
    <xdr:pic>
      <xdr:nvPicPr>
        <xdr:cNvPr id="5" name="Picture 4">
          <a:extLst>
            <a:ext uri="{FF2B5EF4-FFF2-40B4-BE49-F238E27FC236}">
              <a16:creationId xmlns:a16="http://schemas.microsoft.com/office/drawing/2014/main" id="{00000000-0008-0000-1C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20875" y="15081250"/>
          <a:ext cx="8562975" cy="59018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533400</xdr:colOff>
      <xdr:row>83</xdr:row>
      <xdr:rowOff>101428</xdr:rowOff>
    </xdr:from>
    <xdr:ext cx="3314700" cy="1270171"/>
    <xdr:pic>
      <xdr:nvPicPr>
        <xdr:cNvPr id="6" name="Picture 5">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930400" y="13804728"/>
          <a:ext cx="3314700" cy="127017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xdr:col>
      <xdr:colOff>38100</xdr:colOff>
      <xdr:row>73</xdr:row>
      <xdr:rowOff>38100</xdr:rowOff>
    </xdr:from>
    <xdr:to>
      <xdr:col>11</xdr:col>
      <xdr:colOff>342900</xdr:colOff>
      <xdr:row>74</xdr:row>
      <xdr:rowOff>66675</xdr:rowOff>
    </xdr:to>
    <xdr:sp macro="" textlink="">
      <xdr:nvSpPr>
        <xdr:cNvPr id="7" name="Oval 6">
          <a:extLst>
            <a:ext uri="{FF2B5EF4-FFF2-40B4-BE49-F238E27FC236}">
              <a16:creationId xmlns:a16="http://schemas.microsoft.com/office/drawing/2014/main" id="{00000000-0008-0000-1C00-000007000000}"/>
            </a:ext>
          </a:extLst>
        </xdr:cNvPr>
        <xdr:cNvSpPr/>
      </xdr:nvSpPr>
      <xdr:spPr>
        <a:xfrm>
          <a:off x="2133600" y="12090400"/>
          <a:ext cx="5892800" cy="193675"/>
        </a:xfrm>
        <a:prstGeom prst="ellipse">
          <a:avLst/>
        </a:prstGeom>
        <a:no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ZA" sz="1100"/>
        </a:p>
      </xdr:txBody>
    </xdr:sp>
    <xdr:clientData/>
  </xdr:twoCellAnchor>
  <xdr:oneCellAnchor>
    <xdr:from>
      <xdr:col>32</xdr:col>
      <xdr:colOff>0</xdr:colOff>
      <xdr:row>52</xdr:row>
      <xdr:rowOff>0</xdr:rowOff>
    </xdr:from>
    <xdr:ext cx="6955414" cy="5443025"/>
    <xdr:pic>
      <xdr:nvPicPr>
        <xdr:cNvPr id="8" name="Picture 7">
          <a:extLst>
            <a:ext uri="{FF2B5EF4-FFF2-40B4-BE49-F238E27FC236}">
              <a16:creationId xmlns:a16="http://schemas.microsoft.com/office/drawing/2014/main" id="{00000000-0008-0000-1C00-000008000000}"/>
            </a:ext>
          </a:extLst>
        </xdr:cNvPr>
        <xdr:cNvPicPr>
          <a:picLocks noChangeAspect="1"/>
        </xdr:cNvPicPr>
      </xdr:nvPicPr>
      <xdr:blipFill>
        <a:blip xmlns:r="http://schemas.openxmlformats.org/officeDocument/2006/relationships" r:embed="rId6"/>
        <a:stretch>
          <a:fillRect/>
        </a:stretch>
      </xdr:blipFill>
      <xdr:spPr>
        <a:xfrm>
          <a:off x="22352000" y="8585200"/>
          <a:ext cx="6955414" cy="5443025"/>
        </a:xfrm>
        <a:prstGeom prst="rect">
          <a:avLst/>
        </a:prstGeom>
      </xdr:spPr>
    </xdr:pic>
    <xdr:clientData/>
  </xdr:oneCellAnchor>
  <xdr:oneCellAnchor>
    <xdr:from>
      <xdr:col>3</xdr:col>
      <xdr:colOff>0</xdr:colOff>
      <xdr:row>133</xdr:row>
      <xdr:rowOff>0</xdr:rowOff>
    </xdr:from>
    <xdr:ext cx="5742857" cy="4571429"/>
    <xdr:pic>
      <xdr:nvPicPr>
        <xdr:cNvPr id="9" name="Picture 8">
          <a:extLst>
            <a:ext uri="{FF2B5EF4-FFF2-40B4-BE49-F238E27FC236}">
              <a16:creationId xmlns:a16="http://schemas.microsoft.com/office/drawing/2014/main" id="{00000000-0008-0000-1C00-000009000000}"/>
            </a:ext>
          </a:extLst>
        </xdr:cNvPr>
        <xdr:cNvPicPr>
          <a:picLocks noChangeAspect="1"/>
        </xdr:cNvPicPr>
      </xdr:nvPicPr>
      <xdr:blipFill>
        <a:blip xmlns:r="http://schemas.openxmlformats.org/officeDocument/2006/relationships" r:embed="rId7"/>
        <a:stretch>
          <a:fillRect/>
        </a:stretch>
      </xdr:blipFill>
      <xdr:spPr>
        <a:xfrm>
          <a:off x="2095500" y="21958300"/>
          <a:ext cx="5742857" cy="4571429"/>
        </a:xfrm>
        <a:prstGeom prst="rect">
          <a:avLst/>
        </a:prstGeom>
      </xdr:spPr>
    </xdr:pic>
    <xdr:clientData/>
  </xdr:oneCellAnchor>
  <xdr:oneCellAnchor>
    <xdr:from>
      <xdr:col>17</xdr:col>
      <xdr:colOff>133350</xdr:colOff>
      <xdr:row>89</xdr:row>
      <xdr:rowOff>152400</xdr:rowOff>
    </xdr:from>
    <xdr:ext cx="5952381" cy="3380952"/>
    <xdr:pic>
      <xdr:nvPicPr>
        <xdr:cNvPr id="10" name="Picture 9">
          <a:extLst>
            <a:ext uri="{FF2B5EF4-FFF2-40B4-BE49-F238E27FC236}">
              <a16:creationId xmlns:a16="http://schemas.microsoft.com/office/drawing/2014/main" id="{00000000-0008-0000-1C00-00000A000000}"/>
            </a:ext>
          </a:extLst>
        </xdr:cNvPr>
        <xdr:cNvPicPr>
          <a:picLocks noChangeAspect="1"/>
        </xdr:cNvPicPr>
      </xdr:nvPicPr>
      <xdr:blipFill>
        <a:blip xmlns:r="http://schemas.openxmlformats.org/officeDocument/2006/relationships" r:embed="rId8"/>
        <a:stretch>
          <a:fillRect/>
        </a:stretch>
      </xdr:blipFill>
      <xdr:spPr>
        <a:xfrm>
          <a:off x="12007850" y="14846300"/>
          <a:ext cx="5952381" cy="3380952"/>
        </a:xfrm>
        <a:prstGeom prst="rect">
          <a:avLst/>
        </a:prstGeom>
      </xdr:spPr>
    </xdr:pic>
    <xdr:clientData/>
  </xdr:oneCellAnchor>
  <xdr:twoCellAnchor editAs="oneCell">
    <xdr:from>
      <xdr:col>1</xdr:col>
      <xdr:colOff>0</xdr:colOff>
      <xdr:row>21</xdr:row>
      <xdr:rowOff>0</xdr:rowOff>
    </xdr:from>
    <xdr:to>
      <xdr:col>12</xdr:col>
      <xdr:colOff>99658</xdr:colOff>
      <xdr:row>48</xdr:row>
      <xdr:rowOff>45757</xdr:rowOff>
    </xdr:to>
    <xdr:pic>
      <xdr:nvPicPr>
        <xdr:cNvPr id="11" name="Picture 10">
          <a:extLst>
            <a:ext uri="{FF2B5EF4-FFF2-40B4-BE49-F238E27FC236}">
              <a16:creationId xmlns:a16="http://schemas.microsoft.com/office/drawing/2014/main" id="{0439DDF7-D4A0-004C-90BE-43AC99892D8F}"/>
            </a:ext>
          </a:extLst>
        </xdr:cNvPr>
        <xdr:cNvPicPr>
          <a:picLocks noChangeAspect="1"/>
        </xdr:cNvPicPr>
      </xdr:nvPicPr>
      <xdr:blipFill>
        <a:blip xmlns:r="http://schemas.openxmlformats.org/officeDocument/2006/relationships" r:embed="rId9"/>
        <a:stretch>
          <a:fillRect/>
        </a:stretch>
      </xdr:blipFill>
      <xdr:spPr>
        <a:xfrm>
          <a:off x="698500" y="3467100"/>
          <a:ext cx="7783158" cy="4503457"/>
        </a:xfrm>
        <a:prstGeom prst="rect">
          <a:avLst/>
        </a:prstGeom>
      </xdr:spPr>
    </xdr:pic>
    <xdr:clientData/>
  </xdr:twoCellAnchor>
  <xdr:twoCellAnchor editAs="oneCell">
    <xdr:from>
      <xdr:col>13</xdr:col>
      <xdr:colOff>19050</xdr:colOff>
      <xdr:row>21</xdr:row>
      <xdr:rowOff>38100</xdr:rowOff>
    </xdr:from>
    <xdr:to>
      <xdr:col>26</xdr:col>
      <xdr:colOff>122821</xdr:colOff>
      <xdr:row>49</xdr:row>
      <xdr:rowOff>132771</xdr:rowOff>
    </xdr:to>
    <xdr:pic>
      <xdr:nvPicPr>
        <xdr:cNvPr id="12" name="Picture 11">
          <a:extLst>
            <a:ext uri="{FF2B5EF4-FFF2-40B4-BE49-F238E27FC236}">
              <a16:creationId xmlns:a16="http://schemas.microsoft.com/office/drawing/2014/main" id="{EEDF5D91-7D24-B892-FEF6-9D1299FE57BF}"/>
            </a:ext>
          </a:extLst>
        </xdr:cNvPr>
        <xdr:cNvPicPr>
          <a:picLocks noChangeAspect="1"/>
        </xdr:cNvPicPr>
      </xdr:nvPicPr>
      <xdr:blipFill>
        <a:blip xmlns:r="http://schemas.openxmlformats.org/officeDocument/2006/relationships" r:embed="rId10"/>
        <a:stretch>
          <a:fillRect/>
        </a:stretch>
      </xdr:blipFill>
      <xdr:spPr>
        <a:xfrm>
          <a:off x="7943850" y="4048125"/>
          <a:ext cx="8028571" cy="4628571"/>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19050</xdr:colOff>
      <xdr:row>2</xdr:row>
      <xdr:rowOff>85725</xdr:rowOff>
    </xdr:from>
    <xdr:to>
      <xdr:col>12</xdr:col>
      <xdr:colOff>408462</xdr:colOff>
      <xdr:row>31</xdr:row>
      <xdr:rowOff>17322</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628650" y="409575"/>
          <a:ext cx="8904762" cy="4580952"/>
        </a:xfrm>
        <a:prstGeom prst="rect">
          <a:avLst/>
        </a:prstGeom>
      </xdr:spPr>
    </xdr:pic>
    <xdr:clientData/>
  </xdr:twoCellAnchor>
  <xdr:twoCellAnchor editAs="oneCell">
    <xdr:from>
      <xdr:col>13</xdr:col>
      <xdr:colOff>95250</xdr:colOff>
      <xdr:row>2</xdr:row>
      <xdr:rowOff>66675</xdr:rowOff>
    </xdr:from>
    <xdr:to>
      <xdr:col>24</xdr:col>
      <xdr:colOff>103711</xdr:colOff>
      <xdr:row>33</xdr:row>
      <xdr:rowOff>36135</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stretch>
          <a:fillRect/>
        </a:stretch>
      </xdr:blipFill>
      <xdr:spPr>
        <a:xfrm>
          <a:off x="9829800" y="390525"/>
          <a:ext cx="7047436" cy="4942665"/>
        </a:xfrm>
        <a:prstGeom prst="rect">
          <a:avLst/>
        </a:prstGeom>
      </xdr:spPr>
    </xdr:pic>
    <xdr:clientData/>
  </xdr:twoCellAnchor>
  <xdr:twoCellAnchor editAs="oneCell">
    <xdr:from>
      <xdr:col>1</xdr:col>
      <xdr:colOff>0</xdr:colOff>
      <xdr:row>69</xdr:row>
      <xdr:rowOff>0</xdr:rowOff>
    </xdr:from>
    <xdr:to>
      <xdr:col>9</xdr:col>
      <xdr:colOff>254000</xdr:colOff>
      <xdr:row>83</xdr:row>
      <xdr:rowOff>61362</xdr:rowOff>
    </xdr:to>
    <xdr:pic>
      <xdr:nvPicPr>
        <xdr:cNvPr id="3" name="Picture 2">
          <a:extLst>
            <a:ext uri="{FF2B5EF4-FFF2-40B4-BE49-F238E27FC236}">
              <a16:creationId xmlns:a16="http://schemas.microsoft.com/office/drawing/2014/main" id="{C59F723D-1400-1DD0-E9CF-A26230ED3D90}"/>
            </a:ext>
          </a:extLst>
        </xdr:cNvPr>
        <xdr:cNvPicPr>
          <a:picLocks noChangeAspect="1"/>
        </xdr:cNvPicPr>
      </xdr:nvPicPr>
      <xdr:blipFill>
        <a:blip xmlns:r="http://schemas.openxmlformats.org/officeDocument/2006/relationships" r:embed="rId3"/>
        <a:stretch>
          <a:fillRect/>
        </a:stretch>
      </xdr:blipFill>
      <xdr:spPr>
        <a:xfrm>
          <a:off x="673100" y="11391900"/>
          <a:ext cx="7772400" cy="237276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oneCellAnchor>
    <xdr:from>
      <xdr:col>22</xdr:col>
      <xdr:colOff>314325</xdr:colOff>
      <xdr:row>43</xdr:row>
      <xdr:rowOff>104775</xdr:rowOff>
    </xdr:from>
    <xdr:ext cx="6955414" cy="5443025"/>
    <xdr:pic>
      <xdr:nvPicPr>
        <xdr:cNvPr id="3" name="Picture 2">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stretch>
          <a:fillRect/>
        </a:stretch>
      </xdr:blipFill>
      <xdr:spPr>
        <a:xfrm>
          <a:off x="17760681" y="7046724"/>
          <a:ext cx="6955414" cy="5443025"/>
        </a:xfrm>
        <a:prstGeom prst="rect">
          <a:avLst/>
        </a:prstGeom>
      </xdr:spPr>
    </xdr:pic>
    <xdr:clientData/>
  </xdr:oneCellAnchor>
  <xdr:oneCellAnchor>
    <xdr:from>
      <xdr:col>5</xdr:col>
      <xdr:colOff>400050</xdr:colOff>
      <xdr:row>53</xdr:row>
      <xdr:rowOff>66675</xdr:rowOff>
    </xdr:from>
    <xdr:ext cx="4409524" cy="2457143"/>
    <xdr:pic>
      <xdr:nvPicPr>
        <xdr:cNvPr id="4" name="Picture 3">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2"/>
        <a:stretch>
          <a:fillRect/>
        </a:stretch>
      </xdr:blipFill>
      <xdr:spPr>
        <a:xfrm>
          <a:off x="5329372" y="8623031"/>
          <a:ext cx="4409524" cy="2457143"/>
        </a:xfrm>
        <a:prstGeom prst="rect">
          <a:avLst/>
        </a:prstGeom>
      </xdr:spPr>
    </xdr:pic>
    <xdr:clientData/>
  </xdr:oneCellAnchor>
  <xdr:twoCellAnchor editAs="oneCell">
    <xdr:from>
      <xdr:col>13</xdr:col>
      <xdr:colOff>90245</xdr:colOff>
      <xdr:row>4</xdr:row>
      <xdr:rowOff>66674</xdr:rowOff>
    </xdr:from>
    <xdr:to>
      <xdr:col>25</xdr:col>
      <xdr:colOff>209550</xdr:colOff>
      <xdr:row>37</xdr:row>
      <xdr:rowOff>453</xdr:rowOff>
    </xdr:to>
    <xdr:pic>
      <xdr:nvPicPr>
        <xdr:cNvPr id="5" name="Picture 4">
          <a:extLst>
            <a:ext uri="{FF2B5EF4-FFF2-40B4-BE49-F238E27FC236}">
              <a16:creationId xmlns:a16="http://schemas.microsoft.com/office/drawing/2014/main" id="{00000000-0008-0000-2100-000005000000}"/>
            </a:ext>
          </a:extLst>
        </xdr:cNvPr>
        <xdr:cNvPicPr>
          <a:picLocks noChangeAspect="1"/>
        </xdr:cNvPicPr>
      </xdr:nvPicPr>
      <xdr:blipFill>
        <a:blip xmlns:r="http://schemas.openxmlformats.org/officeDocument/2006/relationships" r:embed="rId3"/>
        <a:stretch>
          <a:fillRect/>
        </a:stretch>
      </xdr:blipFill>
      <xdr:spPr>
        <a:xfrm>
          <a:off x="11240414" y="712437"/>
          <a:ext cx="8514221" cy="5261321"/>
        </a:xfrm>
        <a:prstGeom prst="rect">
          <a:avLst/>
        </a:prstGeom>
      </xdr:spPr>
    </xdr:pic>
    <xdr:clientData/>
  </xdr:twoCellAnchor>
  <xdr:twoCellAnchor editAs="oneCell">
    <xdr:from>
      <xdr:col>17</xdr:col>
      <xdr:colOff>333643</xdr:colOff>
      <xdr:row>117</xdr:row>
      <xdr:rowOff>118391</xdr:rowOff>
    </xdr:from>
    <xdr:to>
      <xdr:col>38</xdr:col>
      <xdr:colOff>69742</xdr:colOff>
      <xdr:row>169</xdr:row>
      <xdr:rowOff>65223</xdr:rowOff>
    </xdr:to>
    <xdr:pic>
      <xdr:nvPicPr>
        <xdr:cNvPr id="2" name="Picture 1">
          <a:extLst>
            <a:ext uri="{FF2B5EF4-FFF2-40B4-BE49-F238E27FC236}">
              <a16:creationId xmlns:a16="http://schemas.microsoft.com/office/drawing/2014/main" id="{1A38D249-8ECD-AB8A-1C55-6066835741D9}"/>
            </a:ext>
          </a:extLst>
        </xdr:cNvPr>
        <xdr:cNvPicPr>
          <a:picLocks noChangeAspect="1"/>
        </xdr:cNvPicPr>
      </xdr:nvPicPr>
      <xdr:blipFill>
        <a:blip xmlns:r="http://schemas.openxmlformats.org/officeDocument/2006/relationships" r:embed="rId4"/>
        <a:stretch>
          <a:fillRect/>
        </a:stretch>
      </xdr:blipFill>
      <xdr:spPr>
        <a:xfrm>
          <a:off x="14282118" y="20287713"/>
          <a:ext cx="14427200" cy="110109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oneCellAnchor>
    <xdr:from>
      <xdr:col>0</xdr:col>
      <xdr:colOff>592391</xdr:colOff>
      <xdr:row>3</xdr:row>
      <xdr:rowOff>16933</xdr:rowOff>
    </xdr:from>
    <xdr:ext cx="4229378" cy="2356760"/>
    <xdr:pic>
      <xdr:nvPicPr>
        <xdr:cNvPr id="2" name="Picture 1">
          <a:extLst>
            <a:ext uri="{FF2B5EF4-FFF2-40B4-BE49-F238E27FC236}">
              <a16:creationId xmlns:a16="http://schemas.microsoft.com/office/drawing/2014/main" id="{ABD2DA71-AF7A-48B7-8DED-3EB012905B17}"/>
            </a:ext>
          </a:extLst>
        </xdr:cNvPr>
        <xdr:cNvPicPr>
          <a:picLocks noChangeAspect="1"/>
        </xdr:cNvPicPr>
      </xdr:nvPicPr>
      <xdr:blipFill>
        <a:blip xmlns:r="http://schemas.openxmlformats.org/officeDocument/2006/relationships" r:embed="rId1"/>
        <a:stretch>
          <a:fillRect/>
        </a:stretch>
      </xdr:blipFill>
      <xdr:spPr>
        <a:xfrm>
          <a:off x="592391" y="664633"/>
          <a:ext cx="4229378" cy="2356760"/>
        </a:xfrm>
        <a:prstGeom prst="rect">
          <a:avLst/>
        </a:prstGeom>
      </xdr:spPr>
    </xdr:pic>
    <xdr:clientData/>
  </xdr:oneCellAnchor>
  <xdr:twoCellAnchor editAs="oneCell">
    <xdr:from>
      <xdr:col>32</xdr:col>
      <xdr:colOff>295275</xdr:colOff>
      <xdr:row>3</xdr:row>
      <xdr:rowOff>38100</xdr:rowOff>
    </xdr:from>
    <xdr:to>
      <xdr:col>39</xdr:col>
      <xdr:colOff>466170</xdr:colOff>
      <xdr:row>18</xdr:row>
      <xdr:rowOff>171076</xdr:rowOff>
    </xdr:to>
    <xdr:pic>
      <xdr:nvPicPr>
        <xdr:cNvPr id="3" name="Picture 2">
          <a:extLst>
            <a:ext uri="{FF2B5EF4-FFF2-40B4-BE49-F238E27FC236}">
              <a16:creationId xmlns:a16="http://schemas.microsoft.com/office/drawing/2014/main" id="{1099F333-7774-4538-94CB-61468CFC04B5}"/>
            </a:ext>
          </a:extLst>
        </xdr:cNvPr>
        <xdr:cNvPicPr>
          <a:picLocks noChangeAspect="1"/>
        </xdr:cNvPicPr>
      </xdr:nvPicPr>
      <xdr:blipFill>
        <a:blip xmlns:r="http://schemas.openxmlformats.org/officeDocument/2006/relationships" r:embed="rId2"/>
        <a:stretch>
          <a:fillRect/>
        </a:stretch>
      </xdr:blipFill>
      <xdr:spPr>
        <a:xfrm>
          <a:off x="20135850" y="685800"/>
          <a:ext cx="4438095" cy="2990476"/>
        </a:xfrm>
        <a:prstGeom prst="rect">
          <a:avLst/>
        </a:prstGeom>
      </xdr:spPr>
    </xdr:pic>
    <xdr:clientData/>
  </xdr:twoCellAnchor>
  <xdr:twoCellAnchor editAs="oneCell">
    <xdr:from>
      <xdr:col>31</xdr:col>
      <xdr:colOff>9525</xdr:colOff>
      <xdr:row>20</xdr:row>
      <xdr:rowOff>152400</xdr:rowOff>
    </xdr:from>
    <xdr:to>
      <xdr:col>39</xdr:col>
      <xdr:colOff>580344</xdr:colOff>
      <xdr:row>36</xdr:row>
      <xdr:rowOff>104400</xdr:rowOff>
    </xdr:to>
    <xdr:pic>
      <xdr:nvPicPr>
        <xdr:cNvPr id="4" name="Picture 3">
          <a:extLst>
            <a:ext uri="{FF2B5EF4-FFF2-40B4-BE49-F238E27FC236}">
              <a16:creationId xmlns:a16="http://schemas.microsoft.com/office/drawing/2014/main" id="{1BCAAC3D-96D5-4A21-AA23-7FA9172F9042}"/>
            </a:ext>
          </a:extLst>
        </xdr:cNvPr>
        <xdr:cNvPicPr>
          <a:picLocks noChangeAspect="1"/>
        </xdr:cNvPicPr>
      </xdr:nvPicPr>
      <xdr:blipFill>
        <a:blip xmlns:r="http://schemas.openxmlformats.org/officeDocument/2006/relationships" r:embed="rId3"/>
        <a:stretch>
          <a:fillRect/>
        </a:stretch>
      </xdr:blipFill>
      <xdr:spPr>
        <a:xfrm>
          <a:off x="19240500" y="4038600"/>
          <a:ext cx="5447619" cy="3000000"/>
        </a:xfrm>
        <a:prstGeom prst="rect">
          <a:avLst/>
        </a:prstGeom>
      </xdr:spPr>
    </xdr:pic>
    <xdr:clientData/>
  </xdr:twoCellAnchor>
  <xdr:twoCellAnchor editAs="oneCell">
    <xdr:from>
      <xdr:col>22</xdr:col>
      <xdr:colOff>7963</xdr:colOff>
      <xdr:row>71</xdr:row>
      <xdr:rowOff>57149</xdr:rowOff>
    </xdr:from>
    <xdr:to>
      <xdr:col>37</xdr:col>
      <xdr:colOff>608146</xdr:colOff>
      <xdr:row>113</xdr:row>
      <xdr:rowOff>84526</xdr:rowOff>
    </xdr:to>
    <xdr:pic>
      <xdr:nvPicPr>
        <xdr:cNvPr id="5" name="Picture 4">
          <a:extLst>
            <a:ext uri="{FF2B5EF4-FFF2-40B4-BE49-F238E27FC236}">
              <a16:creationId xmlns:a16="http://schemas.microsoft.com/office/drawing/2014/main" id="{8B961E1D-C6D8-4514-BB91-9DAA179808E8}"/>
            </a:ext>
          </a:extLst>
        </xdr:cNvPr>
        <xdr:cNvPicPr>
          <a:picLocks noChangeAspect="1"/>
        </xdr:cNvPicPr>
      </xdr:nvPicPr>
      <xdr:blipFill>
        <a:blip xmlns:r="http://schemas.openxmlformats.org/officeDocument/2006/relationships" r:embed="rId4"/>
        <a:stretch>
          <a:fillRect/>
        </a:stretch>
      </xdr:blipFill>
      <xdr:spPr>
        <a:xfrm>
          <a:off x="13752538" y="13658849"/>
          <a:ext cx="9744183" cy="8028377"/>
        </a:xfrm>
        <a:prstGeom prst="rect">
          <a:avLst/>
        </a:prstGeom>
      </xdr:spPr>
    </xdr:pic>
    <xdr:clientData/>
  </xdr:twoCellAnchor>
  <xdr:twoCellAnchor editAs="oneCell">
    <xdr:from>
      <xdr:col>20</xdr:col>
      <xdr:colOff>85725</xdr:colOff>
      <xdr:row>3</xdr:row>
      <xdr:rowOff>19050</xdr:rowOff>
    </xdr:from>
    <xdr:to>
      <xdr:col>30</xdr:col>
      <xdr:colOff>599249</xdr:colOff>
      <xdr:row>16</xdr:row>
      <xdr:rowOff>133026</xdr:rowOff>
    </xdr:to>
    <xdr:pic>
      <xdr:nvPicPr>
        <xdr:cNvPr id="6" name="Picture 5">
          <a:extLst>
            <a:ext uri="{FF2B5EF4-FFF2-40B4-BE49-F238E27FC236}">
              <a16:creationId xmlns:a16="http://schemas.microsoft.com/office/drawing/2014/main" id="{D9258446-0A21-4672-B9EB-658C153663C4}"/>
            </a:ext>
          </a:extLst>
        </xdr:cNvPr>
        <xdr:cNvPicPr>
          <a:picLocks noChangeAspect="1"/>
        </xdr:cNvPicPr>
      </xdr:nvPicPr>
      <xdr:blipFill>
        <a:blip xmlns:r="http://schemas.openxmlformats.org/officeDocument/2006/relationships" r:embed="rId5"/>
        <a:stretch>
          <a:fillRect/>
        </a:stretch>
      </xdr:blipFill>
      <xdr:spPr>
        <a:xfrm>
          <a:off x="12611100" y="666750"/>
          <a:ext cx="6609524" cy="2590476"/>
        </a:xfrm>
        <a:prstGeom prst="rect">
          <a:avLst/>
        </a:prstGeom>
      </xdr:spPr>
    </xdr:pic>
    <xdr:clientData/>
  </xdr:twoCellAnchor>
  <xdr:twoCellAnchor editAs="oneCell">
    <xdr:from>
      <xdr:col>21</xdr:col>
      <xdr:colOff>581025</xdr:colOff>
      <xdr:row>18</xdr:row>
      <xdr:rowOff>38100</xdr:rowOff>
    </xdr:from>
    <xdr:to>
      <xdr:col>29</xdr:col>
      <xdr:colOff>342320</xdr:colOff>
      <xdr:row>36</xdr:row>
      <xdr:rowOff>56719</xdr:rowOff>
    </xdr:to>
    <xdr:pic>
      <xdr:nvPicPr>
        <xdr:cNvPr id="7" name="Picture 6">
          <a:extLst>
            <a:ext uri="{FF2B5EF4-FFF2-40B4-BE49-F238E27FC236}">
              <a16:creationId xmlns:a16="http://schemas.microsoft.com/office/drawing/2014/main" id="{872F2CDC-AB09-459A-8DE3-40D07A5B8319}"/>
            </a:ext>
          </a:extLst>
        </xdr:cNvPr>
        <xdr:cNvPicPr>
          <a:picLocks noChangeAspect="1"/>
        </xdr:cNvPicPr>
      </xdr:nvPicPr>
      <xdr:blipFill>
        <a:blip xmlns:r="http://schemas.openxmlformats.org/officeDocument/2006/relationships" r:embed="rId6"/>
        <a:stretch>
          <a:fillRect/>
        </a:stretch>
      </xdr:blipFill>
      <xdr:spPr>
        <a:xfrm>
          <a:off x="13716000" y="3543300"/>
          <a:ext cx="4638095" cy="3447619"/>
        </a:xfrm>
        <a:prstGeom prst="rect">
          <a:avLst/>
        </a:prstGeom>
      </xdr:spPr>
    </xdr:pic>
    <xdr:clientData/>
  </xdr:twoCellAnchor>
  <xdr:twoCellAnchor>
    <xdr:from>
      <xdr:col>8</xdr:col>
      <xdr:colOff>132292</xdr:colOff>
      <xdr:row>3</xdr:row>
      <xdr:rowOff>105835</xdr:rowOff>
    </xdr:from>
    <xdr:to>
      <xdr:col>16</xdr:col>
      <xdr:colOff>232833</xdr:colOff>
      <xdr:row>16</xdr:row>
      <xdr:rowOff>169335</xdr:rowOff>
    </xdr:to>
    <xdr:graphicFrame macro="">
      <xdr:nvGraphicFramePr>
        <xdr:cNvPr id="8" name="Chart 7">
          <a:extLst>
            <a:ext uri="{FF2B5EF4-FFF2-40B4-BE49-F238E27FC236}">
              <a16:creationId xmlns:a16="http://schemas.microsoft.com/office/drawing/2014/main" id="{22A746D9-ADFC-4526-A73E-68C847F13B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0</xdr:colOff>
      <xdr:row>42</xdr:row>
      <xdr:rowOff>0</xdr:rowOff>
    </xdr:from>
    <xdr:to>
      <xdr:col>32</xdr:col>
      <xdr:colOff>189714</xdr:colOff>
      <xdr:row>65</xdr:row>
      <xdr:rowOff>56595</xdr:rowOff>
    </xdr:to>
    <xdr:pic>
      <xdr:nvPicPr>
        <xdr:cNvPr id="9" name="Picture 8">
          <a:extLst>
            <a:ext uri="{FF2B5EF4-FFF2-40B4-BE49-F238E27FC236}">
              <a16:creationId xmlns:a16="http://schemas.microsoft.com/office/drawing/2014/main" id="{15E6F1D9-E737-41EB-B956-117C4617D1C2}"/>
            </a:ext>
          </a:extLst>
        </xdr:cNvPr>
        <xdr:cNvPicPr>
          <a:picLocks noChangeAspect="1"/>
        </xdr:cNvPicPr>
      </xdr:nvPicPr>
      <xdr:blipFill>
        <a:blip xmlns:r="http://schemas.openxmlformats.org/officeDocument/2006/relationships" r:embed="rId8"/>
        <a:stretch>
          <a:fillRect/>
        </a:stretch>
      </xdr:blipFill>
      <xdr:spPr>
        <a:xfrm>
          <a:off x="13744575" y="8077200"/>
          <a:ext cx="6285714" cy="44380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19</xdr:col>
      <xdr:colOff>409575</xdr:colOff>
      <xdr:row>1</xdr:row>
      <xdr:rowOff>171450</xdr:rowOff>
    </xdr:from>
    <xdr:to>
      <xdr:col>30</xdr:col>
      <xdr:colOff>580165</xdr:colOff>
      <xdr:row>27</xdr:row>
      <xdr:rowOff>189879</xdr:rowOff>
    </xdr:to>
    <xdr:pic>
      <xdr:nvPicPr>
        <xdr:cNvPr id="2" name="Picture 1">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12573000" y="361950"/>
          <a:ext cx="6876190" cy="4971429"/>
        </a:xfrm>
        <a:prstGeom prst="rect">
          <a:avLst/>
        </a:prstGeom>
      </xdr:spPr>
    </xdr:pic>
    <xdr:clientData/>
  </xdr:twoCellAnchor>
  <xdr:twoCellAnchor editAs="oneCell">
    <xdr:from>
      <xdr:col>20</xdr:col>
      <xdr:colOff>0</xdr:colOff>
      <xdr:row>31</xdr:row>
      <xdr:rowOff>161925</xdr:rowOff>
    </xdr:from>
    <xdr:to>
      <xdr:col>32</xdr:col>
      <xdr:colOff>560990</xdr:colOff>
      <xdr:row>54</xdr:row>
      <xdr:rowOff>113758</xdr:rowOff>
    </xdr:to>
    <xdr:pic>
      <xdr:nvPicPr>
        <xdr:cNvPr id="3" name="Picture 2">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2"/>
        <a:stretch>
          <a:fillRect/>
        </a:stretch>
      </xdr:blipFill>
      <xdr:spPr>
        <a:xfrm>
          <a:off x="12773025" y="6067425"/>
          <a:ext cx="7876190" cy="4333333"/>
        </a:xfrm>
        <a:prstGeom prst="rect">
          <a:avLst/>
        </a:prstGeom>
      </xdr:spPr>
    </xdr:pic>
    <xdr:clientData/>
  </xdr:twoCellAnchor>
  <xdr:twoCellAnchor editAs="oneCell">
    <xdr:from>
      <xdr:col>0</xdr:col>
      <xdr:colOff>247650</xdr:colOff>
      <xdr:row>16</xdr:row>
      <xdr:rowOff>114300</xdr:rowOff>
    </xdr:from>
    <xdr:to>
      <xdr:col>9</xdr:col>
      <xdr:colOff>142130</xdr:colOff>
      <xdr:row>46</xdr:row>
      <xdr:rowOff>161205</xdr:rowOff>
    </xdr:to>
    <xdr:pic>
      <xdr:nvPicPr>
        <xdr:cNvPr id="4" name="Picture 3">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3"/>
        <a:stretch>
          <a:fillRect/>
        </a:stretch>
      </xdr:blipFill>
      <xdr:spPr>
        <a:xfrm>
          <a:off x="247650" y="3162300"/>
          <a:ext cx="5961905" cy="5761905"/>
        </a:xfrm>
        <a:prstGeom prst="rect">
          <a:avLst/>
        </a:prstGeom>
      </xdr:spPr>
    </xdr:pic>
    <xdr:clientData/>
  </xdr:twoCellAnchor>
  <xdr:twoCellAnchor editAs="oneCell">
    <xdr:from>
      <xdr:col>9</xdr:col>
      <xdr:colOff>342900</xdr:colOff>
      <xdr:row>16</xdr:row>
      <xdr:rowOff>95250</xdr:rowOff>
    </xdr:from>
    <xdr:to>
      <xdr:col>19</xdr:col>
      <xdr:colOff>323090</xdr:colOff>
      <xdr:row>67</xdr:row>
      <xdr:rowOff>113083</xdr:rowOff>
    </xdr:to>
    <xdr:pic>
      <xdr:nvPicPr>
        <xdr:cNvPr id="5" name="Picture 4">
          <a:extLst>
            <a:ext uri="{FF2B5EF4-FFF2-40B4-BE49-F238E27FC236}">
              <a16:creationId xmlns:a16="http://schemas.microsoft.com/office/drawing/2014/main" id="{00000000-0008-0000-2300-000005000000}"/>
            </a:ext>
          </a:extLst>
        </xdr:cNvPr>
        <xdr:cNvPicPr>
          <a:picLocks noChangeAspect="1"/>
        </xdr:cNvPicPr>
      </xdr:nvPicPr>
      <xdr:blipFill>
        <a:blip xmlns:r="http://schemas.openxmlformats.org/officeDocument/2006/relationships" r:embed="rId4"/>
        <a:stretch>
          <a:fillRect/>
        </a:stretch>
      </xdr:blipFill>
      <xdr:spPr>
        <a:xfrm>
          <a:off x="6410325" y="3143250"/>
          <a:ext cx="6076190" cy="973333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19</xdr:col>
      <xdr:colOff>94009</xdr:colOff>
      <xdr:row>35</xdr:row>
      <xdr:rowOff>161237</xdr:rowOff>
    </xdr:to>
    <xdr:pic>
      <xdr:nvPicPr>
        <xdr:cNvPr id="2" name="Picture 1">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1828800" y="323850"/>
          <a:ext cx="9923809" cy="5504762"/>
        </a:xfrm>
        <a:prstGeom prst="rect">
          <a:avLst/>
        </a:prstGeom>
      </xdr:spPr>
    </xdr:pic>
    <xdr:clientData/>
  </xdr:twoCellAnchor>
  <xdr:twoCellAnchor>
    <xdr:from>
      <xdr:col>3</xdr:col>
      <xdr:colOff>76200</xdr:colOff>
      <xdr:row>10</xdr:row>
      <xdr:rowOff>57150</xdr:rowOff>
    </xdr:from>
    <xdr:to>
      <xdr:col>19</xdr:col>
      <xdr:colOff>104775</xdr:colOff>
      <xdr:row>33</xdr:row>
      <xdr:rowOff>57150</xdr:rowOff>
    </xdr:to>
    <xdr:graphicFrame macro="">
      <xdr:nvGraphicFramePr>
        <xdr:cNvPr id="3" name="Chart 2">
          <a:extLst>
            <a:ext uri="{FF2B5EF4-FFF2-40B4-BE49-F238E27FC236}">
              <a16:creationId xmlns:a16="http://schemas.microsoft.com/office/drawing/2014/main" id="{00000000-0008-0000-2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0</xdr:colOff>
      <xdr:row>2</xdr:row>
      <xdr:rowOff>0</xdr:rowOff>
    </xdr:from>
    <xdr:to>
      <xdr:col>35</xdr:col>
      <xdr:colOff>522619</xdr:colOff>
      <xdr:row>35</xdr:row>
      <xdr:rowOff>151713</xdr:rowOff>
    </xdr:to>
    <xdr:pic>
      <xdr:nvPicPr>
        <xdr:cNvPr id="4" name="Picture 3">
          <a:extLst>
            <a:ext uri="{FF2B5EF4-FFF2-40B4-BE49-F238E27FC236}">
              <a16:creationId xmlns:a16="http://schemas.microsoft.com/office/drawing/2014/main" id="{00000000-0008-0000-2400-000004000000}"/>
            </a:ext>
          </a:extLst>
        </xdr:cNvPr>
        <xdr:cNvPicPr>
          <a:picLocks noChangeAspect="1"/>
        </xdr:cNvPicPr>
      </xdr:nvPicPr>
      <xdr:blipFill>
        <a:blip xmlns:r="http://schemas.openxmlformats.org/officeDocument/2006/relationships" r:embed="rId3"/>
        <a:stretch>
          <a:fillRect/>
        </a:stretch>
      </xdr:blipFill>
      <xdr:spPr>
        <a:xfrm>
          <a:off x="12192000" y="323850"/>
          <a:ext cx="10047619" cy="5495238"/>
        </a:xfrm>
        <a:prstGeom prst="rect">
          <a:avLst/>
        </a:prstGeom>
      </xdr:spPr>
    </xdr:pic>
    <xdr:clientData/>
  </xdr:twoCellAnchor>
  <xdr:twoCellAnchor>
    <xdr:from>
      <xdr:col>1</xdr:col>
      <xdr:colOff>19050</xdr:colOff>
      <xdr:row>53</xdr:row>
      <xdr:rowOff>19050</xdr:rowOff>
    </xdr:from>
    <xdr:to>
      <xdr:col>1</xdr:col>
      <xdr:colOff>156210</xdr:colOff>
      <xdr:row>53</xdr:row>
      <xdr:rowOff>156210</xdr:rowOff>
    </xdr:to>
    <xdr:sp macro="" textlink="">
      <xdr:nvSpPr>
        <xdr:cNvPr id="5" name="Oval 4">
          <a:extLst>
            <a:ext uri="{FF2B5EF4-FFF2-40B4-BE49-F238E27FC236}">
              <a16:creationId xmlns:a16="http://schemas.microsoft.com/office/drawing/2014/main" id="{00000000-0008-0000-2400-000005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6" name="Oval 5">
          <a:extLst>
            <a:ext uri="{FF2B5EF4-FFF2-40B4-BE49-F238E27FC236}">
              <a16:creationId xmlns:a16="http://schemas.microsoft.com/office/drawing/2014/main" id="{00000000-0008-0000-2400-000006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7" name="Oval 6">
          <a:extLst>
            <a:ext uri="{FF2B5EF4-FFF2-40B4-BE49-F238E27FC236}">
              <a16:creationId xmlns:a16="http://schemas.microsoft.com/office/drawing/2014/main" id="{00000000-0008-0000-2400-000007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53</xdr:row>
      <xdr:rowOff>19050</xdr:rowOff>
    </xdr:from>
    <xdr:to>
      <xdr:col>1</xdr:col>
      <xdr:colOff>156210</xdr:colOff>
      <xdr:row>53</xdr:row>
      <xdr:rowOff>156210</xdr:rowOff>
    </xdr:to>
    <xdr:sp macro="" textlink="">
      <xdr:nvSpPr>
        <xdr:cNvPr id="8" name="Oval 7">
          <a:extLst>
            <a:ext uri="{FF2B5EF4-FFF2-40B4-BE49-F238E27FC236}">
              <a16:creationId xmlns:a16="http://schemas.microsoft.com/office/drawing/2014/main" id="{00000000-0008-0000-2400-000008000000}"/>
            </a:ext>
          </a:extLst>
        </xdr:cNvPr>
        <xdr:cNvSpPr/>
      </xdr:nvSpPr>
      <xdr:spPr>
        <a:xfrm>
          <a:off x="2066925" y="28632150"/>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0</xdr:col>
      <xdr:colOff>552450</xdr:colOff>
      <xdr:row>89</xdr:row>
      <xdr:rowOff>57150</xdr:rowOff>
    </xdr:from>
    <xdr:to>
      <xdr:col>15</xdr:col>
      <xdr:colOff>351107</xdr:colOff>
      <xdr:row>111</xdr:row>
      <xdr:rowOff>113848</xdr:rowOff>
    </xdr:to>
    <xdr:pic>
      <xdr:nvPicPr>
        <xdr:cNvPr id="9" name="Picture 8">
          <a:extLst>
            <a:ext uri="{FF2B5EF4-FFF2-40B4-BE49-F238E27FC236}">
              <a16:creationId xmlns:a16="http://schemas.microsoft.com/office/drawing/2014/main" id="{00000000-0008-0000-2400-000009000000}"/>
            </a:ext>
          </a:extLst>
        </xdr:cNvPr>
        <xdr:cNvPicPr>
          <a:picLocks noChangeAspect="1"/>
        </xdr:cNvPicPr>
      </xdr:nvPicPr>
      <xdr:blipFill>
        <a:blip xmlns:r="http://schemas.openxmlformats.org/officeDocument/2006/relationships" r:embed="rId4"/>
        <a:stretch>
          <a:fillRect/>
        </a:stretch>
      </xdr:blipFill>
      <xdr:spPr>
        <a:xfrm>
          <a:off x="552450" y="14668500"/>
          <a:ext cx="10333307" cy="3619048"/>
        </a:xfrm>
        <a:prstGeom prst="rect">
          <a:avLst/>
        </a:prstGeom>
      </xdr:spPr>
    </xdr:pic>
    <xdr:clientData/>
  </xdr:twoCellAnchor>
  <xdr:twoCellAnchor editAs="oneCell">
    <xdr:from>
      <xdr:col>19</xdr:col>
      <xdr:colOff>0</xdr:colOff>
      <xdr:row>82</xdr:row>
      <xdr:rowOff>0</xdr:rowOff>
    </xdr:from>
    <xdr:to>
      <xdr:col>29</xdr:col>
      <xdr:colOff>199190</xdr:colOff>
      <xdr:row>113</xdr:row>
      <xdr:rowOff>132706</xdr:rowOff>
    </xdr:to>
    <xdr:pic>
      <xdr:nvPicPr>
        <xdr:cNvPr id="10" name="Picture 9">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5"/>
        <a:stretch>
          <a:fillRect/>
        </a:stretch>
      </xdr:blipFill>
      <xdr:spPr>
        <a:xfrm>
          <a:off x="11849100" y="13401675"/>
          <a:ext cx="6676190" cy="5152381"/>
        </a:xfrm>
        <a:prstGeom prst="rect">
          <a:avLst/>
        </a:prstGeom>
      </xdr:spPr>
    </xdr:pic>
    <xdr:clientData/>
  </xdr:twoCellAnchor>
  <xdr:twoCellAnchor editAs="oneCell">
    <xdr:from>
      <xdr:col>19</xdr:col>
      <xdr:colOff>0</xdr:colOff>
      <xdr:row>129</xdr:row>
      <xdr:rowOff>0</xdr:rowOff>
    </xdr:from>
    <xdr:to>
      <xdr:col>35</xdr:col>
      <xdr:colOff>363415</xdr:colOff>
      <xdr:row>164</xdr:row>
      <xdr:rowOff>134160</xdr:rowOff>
    </xdr:to>
    <xdr:pic>
      <xdr:nvPicPr>
        <xdr:cNvPr id="11" name="Picture 10">
          <a:extLst>
            <a:ext uri="{FF2B5EF4-FFF2-40B4-BE49-F238E27FC236}">
              <a16:creationId xmlns:a16="http://schemas.microsoft.com/office/drawing/2014/main" id="{00000000-0008-0000-2400-00000B000000}"/>
            </a:ext>
          </a:extLst>
        </xdr:cNvPr>
        <xdr:cNvPicPr>
          <a:picLocks noChangeAspect="1"/>
        </xdr:cNvPicPr>
      </xdr:nvPicPr>
      <xdr:blipFill>
        <a:blip xmlns:r="http://schemas.openxmlformats.org/officeDocument/2006/relationships" r:embed="rId6"/>
        <a:stretch>
          <a:fillRect/>
        </a:stretch>
      </xdr:blipFill>
      <xdr:spPr>
        <a:xfrm>
          <a:off x="11849100" y="21069300"/>
          <a:ext cx="10498015" cy="5801535"/>
        </a:xfrm>
        <a:prstGeom prst="rect">
          <a:avLst/>
        </a:prstGeom>
      </xdr:spPr>
    </xdr:pic>
    <xdr:clientData/>
  </xdr:twoCellAnchor>
  <xdr:twoCellAnchor>
    <xdr:from>
      <xdr:col>1</xdr:col>
      <xdr:colOff>19050</xdr:colOff>
      <xdr:row>172</xdr:row>
      <xdr:rowOff>19050</xdr:rowOff>
    </xdr:from>
    <xdr:to>
      <xdr:col>1</xdr:col>
      <xdr:colOff>156210</xdr:colOff>
      <xdr:row>172</xdr:row>
      <xdr:rowOff>156210</xdr:rowOff>
    </xdr:to>
    <xdr:sp macro="" textlink="">
      <xdr:nvSpPr>
        <xdr:cNvPr id="12" name="Oval 11">
          <a:extLst>
            <a:ext uri="{FF2B5EF4-FFF2-40B4-BE49-F238E27FC236}">
              <a16:creationId xmlns:a16="http://schemas.microsoft.com/office/drawing/2014/main" id="{00000000-0008-0000-2400-00000C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3" name="Oval 12">
          <a:extLst>
            <a:ext uri="{FF2B5EF4-FFF2-40B4-BE49-F238E27FC236}">
              <a16:creationId xmlns:a16="http://schemas.microsoft.com/office/drawing/2014/main" id="{00000000-0008-0000-2400-00000D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4" name="Oval 13">
          <a:extLst>
            <a:ext uri="{FF2B5EF4-FFF2-40B4-BE49-F238E27FC236}">
              <a16:creationId xmlns:a16="http://schemas.microsoft.com/office/drawing/2014/main" id="{00000000-0008-0000-2400-00000E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5" name="Oval 14">
          <a:extLst>
            <a:ext uri="{FF2B5EF4-FFF2-40B4-BE49-F238E27FC236}">
              <a16:creationId xmlns:a16="http://schemas.microsoft.com/office/drawing/2014/main" id="{00000000-0008-0000-2400-00000F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xdr:from>
      <xdr:col>1</xdr:col>
      <xdr:colOff>19050</xdr:colOff>
      <xdr:row>172</xdr:row>
      <xdr:rowOff>19050</xdr:rowOff>
    </xdr:from>
    <xdr:to>
      <xdr:col>1</xdr:col>
      <xdr:colOff>156210</xdr:colOff>
      <xdr:row>172</xdr:row>
      <xdr:rowOff>156210</xdr:rowOff>
    </xdr:to>
    <xdr:sp macro="" textlink="">
      <xdr:nvSpPr>
        <xdr:cNvPr id="16" name="Oval 15">
          <a:extLst>
            <a:ext uri="{FF2B5EF4-FFF2-40B4-BE49-F238E27FC236}">
              <a16:creationId xmlns:a16="http://schemas.microsoft.com/office/drawing/2014/main" id="{00000000-0008-0000-2400-000010000000}"/>
            </a:ext>
          </a:extLst>
        </xdr:cNvPr>
        <xdr:cNvSpPr/>
      </xdr:nvSpPr>
      <xdr:spPr>
        <a:xfrm>
          <a:off x="2990850" y="2009775"/>
          <a:ext cx="137160" cy="137160"/>
        </a:xfrm>
        <a:prstGeom prst="ellipse">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b="1">
              <a:solidFill>
                <a:srgbClr val="FFC000"/>
              </a:solidFill>
            </a:rPr>
            <a:t>?</a:t>
          </a:r>
        </a:p>
      </xdr:txBody>
    </xdr:sp>
    <xdr:clientData/>
  </xdr:twoCellAnchor>
  <xdr:twoCellAnchor editAs="oneCell">
    <xdr:from>
      <xdr:col>2</xdr:col>
      <xdr:colOff>47625</xdr:colOff>
      <xdr:row>191</xdr:row>
      <xdr:rowOff>76200</xdr:rowOff>
    </xdr:from>
    <xdr:to>
      <xdr:col>11</xdr:col>
      <xdr:colOff>199142</xdr:colOff>
      <xdr:row>232</xdr:row>
      <xdr:rowOff>65846</xdr:rowOff>
    </xdr:to>
    <xdr:pic>
      <xdr:nvPicPr>
        <xdr:cNvPr id="18" name="Picture 17">
          <a:extLst>
            <a:ext uri="{FF2B5EF4-FFF2-40B4-BE49-F238E27FC236}">
              <a16:creationId xmlns:a16="http://schemas.microsoft.com/office/drawing/2014/main" id="{00000000-0008-0000-2400-000012000000}"/>
            </a:ext>
          </a:extLst>
        </xdr:cNvPr>
        <xdr:cNvPicPr>
          <a:picLocks noChangeAspect="1"/>
        </xdr:cNvPicPr>
      </xdr:nvPicPr>
      <xdr:blipFill>
        <a:blip xmlns:r="http://schemas.openxmlformats.org/officeDocument/2006/relationships" r:embed="rId7"/>
        <a:stretch>
          <a:fillRect/>
        </a:stretch>
      </xdr:blipFill>
      <xdr:spPr>
        <a:xfrm>
          <a:off x="1457325" y="31184850"/>
          <a:ext cx="7066667" cy="662857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26</xdr:col>
      <xdr:colOff>578999</xdr:colOff>
      <xdr:row>22</xdr:row>
      <xdr:rowOff>28146</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09600" y="161925"/>
          <a:ext cx="16209524" cy="3428571"/>
        </a:xfrm>
        <a:prstGeom prst="rect">
          <a:avLst/>
        </a:prstGeom>
      </xdr:spPr>
    </xdr:pic>
    <xdr:clientData/>
  </xdr:twoCellAnchor>
  <xdr:twoCellAnchor editAs="oneCell">
    <xdr:from>
      <xdr:col>0</xdr:col>
      <xdr:colOff>552450</xdr:colOff>
      <xdr:row>31</xdr:row>
      <xdr:rowOff>104775</xdr:rowOff>
    </xdr:from>
    <xdr:to>
      <xdr:col>14</xdr:col>
      <xdr:colOff>238125</xdr:colOff>
      <xdr:row>55</xdr:row>
      <xdr:rowOff>133350</xdr:rowOff>
    </xdr:to>
    <xdr:pic>
      <xdr:nvPicPr>
        <xdr:cNvPr id="3" name="Picture 2">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2450" y="5210175"/>
          <a:ext cx="8220075" cy="391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14</xdr:col>
      <xdr:colOff>257175</xdr:colOff>
      <xdr:row>61</xdr:row>
      <xdr:rowOff>95250</xdr:rowOff>
    </xdr:to>
    <xdr:pic>
      <xdr:nvPicPr>
        <xdr:cNvPr id="4" name="Picture 3">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9153525"/>
          <a:ext cx="8181975" cy="90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5</xdr:col>
      <xdr:colOff>456914</xdr:colOff>
      <xdr:row>17</xdr:row>
      <xdr:rowOff>133030</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1219200" y="323850"/>
          <a:ext cx="2285714" cy="256190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oneCellAnchor>
    <xdr:from>
      <xdr:col>23</xdr:col>
      <xdr:colOff>523875</xdr:colOff>
      <xdr:row>5</xdr:row>
      <xdr:rowOff>103717</xdr:rowOff>
    </xdr:from>
    <xdr:ext cx="11371792" cy="7991475"/>
    <xdr:pic>
      <xdr:nvPicPr>
        <xdr:cNvPr id="2" name="Picture 1">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544675" y="913342"/>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29</xdr:col>
      <xdr:colOff>457200</xdr:colOff>
      <xdr:row>47</xdr:row>
      <xdr:rowOff>133350</xdr:rowOff>
    </xdr:from>
    <xdr:ext cx="2466975" cy="2857500"/>
    <xdr:pic>
      <xdr:nvPicPr>
        <xdr:cNvPr id="3" name="Picture 2">
          <a:extLst>
            <a:ext uri="{FF2B5EF4-FFF2-40B4-BE49-F238E27FC236}">
              <a16:creationId xmlns:a16="http://schemas.microsoft.com/office/drawing/2014/main" id="{00000000-0008-0000-2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35600" y="77438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36</xdr:row>
      <xdr:rowOff>0</xdr:rowOff>
    </xdr:from>
    <xdr:ext cx="304800" cy="304800"/>
    <xdr:sp macro="" textlink="">
      <xdr:nvSpPr>
        <xdr:cNvPr id="4" name="AutoShape 3" descr="image.png">
          <a:extLst>
            <a:ext uri="{FF2B5EF4-FFF2-40B4-BE49-F238E27FC236}">
              <a16:creationId xmlns:a16="http://schemas.microsoft.com/office/drawing/2014/main" id="{00000000-0008-0000-2800-000004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36</xdr:row>
      <xdr:rowOff>0</xdr:rowOff>
    </xdr:from>
    <xdr:ext cx="304800" cy="304800"/>
    <xdr:sp macro="" textlink="">
      <xdr:nvSpPr>
        <xdr:cNvPr id="5" name="AutoShape 4" descr="image.png">
          <a:extLst>
            <a:ext uri="{FF2B5EF4-FFF2-40B4-BE49-F238E27FC236}">
              <a16:creationId xmlns:a16="http://schemas.microsoft.com/office/drawing/2014/main" id="{00000000-0008-0000-2800-000005000000}"/>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37</xdr:row>
      <xdr:rowOff>0</xdr:rowOff>
    </xdr:from>
    <xdr:ext cx="304800" cy="304800"/>
    <xdr:sp macro="" textlink="">
      <xdr:nvSpPr>
        <xdr:cNvPr id="6" name="AutoShape 5" descr="image.png">
          <a:extLst>
            <a:ext uri="{FF2B5EF4-FFF2-40B4-BE49-F238E27FC236}">
              <a16:creationId xmlns:a16="http://schemas.microsoft.com/office/drawing/2014/main" id="{00000000-0008-0000-2800-000006000000}"/>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35</xdr:row>
      <xdr:rowOff>169334</xdr:rowOff>
    </xdr:from>
    <xdr:ext cx="4652434" cy="1528233"/>
    <xdr:pic>
      <xdr:nvPicPr>
        <xdr:cNvPr id="7" name="Picture 6">
          <a:extLst>
            <a:ext uri="{FF2B5EF4-FFF2-40B4-BE49-F238E27FC236}">
              <a16:creationId xmlns:a16="http://schemas.microsoft.com/office/drawing/2014/main" id="{00000000-0008-0000-2800-000007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00000000-0008-0000-2800-000008000000}"/>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0000000-0008-0000-2800-000009000000}"/>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00000000-0008-0000-2800-00000A000000}"/>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19</xdr:col>
      <xdr:colOff>247650</xdr:colOff>
      <xdr:row>86</xdr:row>
      <xdr:rowOff>171450</xdr:rowOff>
    </xdr:from>
    <xdr:ext cx="5732450" cy="3476625"/>
    <xdr:pic>
      <xdr:nvPicPr>
        <xdr:cNvPr id="11" name="Picture 10" descr="Image result for eskom employees in 2012">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30050" y="1408747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00000000-0008-0000-28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00000000-0008-0000-2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00000000-0008-0000-2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30</xdr:col>
      <xdr:colOff>0</xdr:colOff>
      <xdr:row>68</xdr:row>
      <xdr:rowOff>0</xdr:rowOff>
    </xdr:from>
    <xdr:ext cx="8495238" cy="6295238"/>
    <xdr:pic>
      <xdr:nvPicPr>
        <xdr:cNvPr id="15" name="Picture 14">
          <a:extLst>
            <a:ext uri="{FF2B5EF4-FFF2-40B4-BE49-F238E27FC236}">
              <a16:creationId xmlns:a16="http://schemas.microsoft.com/office/drawing/2014/main" id="{00000000-0008-0000-2800-00000F000000}"/>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12700</xdr:rowOff>
    </xdr:to>
    <xdr:sp macro="" textlink="">
      <xdr:nvSpPr>
        <xdr:cNvPr id="63489" name="cmdCheckRegionsSheet" hidden="1">
          <a:extLst>
            <a:ext uri="{63B3BB69-23CF-44E3-9099-C40C66FF867C}">
              <a14:compatExt xmlns:a14="http://schemas.microsoft.com/office/drawing/2010/main" spid="_x0000_s63489"/>
            </a:ext>
            <a:ext uri="{FF2B5EF4-FFF2-40B4-BE49-F238E27FC236}">
              <a16:creationId xmlns:a16="http://schemas.microsoft.com/office/drawing/2014/main" id="{00000000-0008-0000-2D00-000001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25400</xdr:rowOff>
    </xdr:from>
    <xdr:to>
      <xdr:col>3</xdr:col>
      <xdr:colOff>12700</xdr:colOff>
      <xdr:row>4</xdr:row>
      <xdr:rowOff>114300</xdr:rowOff>
    </xdr:to>
    <xdr:sp macro="" textlink="">
      <xdr:nvSpPr>
        <xdr:cNvPr id="63490" name="cmdSpecifySets" hidden="1">
          <a:extLst>
            <a:ext uri="{63B3BB69-23CF-44E3-9099-C40C66FF867C}">
              <a14:compatExt xmlns:a14="http://schemas.microsoft.com/office/drawing/2010/main" spid="_x0000_s63490"/>
            </a:ext>
            <a:ext uri="{FF2B5EF4-FFF2-40B4-BE49-F238E27FC236}">
              <a16:creationId xmlns:a16="http://schemas.microsoft.com/office/drawing/2014/main" id="{00000000-0008-0000-2D00-000002F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12700</xdr:rowOff>
    </xdr:to>
    <xdr:pic>
      <xdr:nvPicPr>
        <xdr:cNvPr id="2" name="cmdCheckRegionsSheet">
          <a:extLst>
            <a:ext uri="{FF2B5EF4-FFF2-40B4-BE49-F238E27FC236}">
              <a16:creationId xmlns:a16="http://schemas.microsoft.com/office/drawing/2014/main" id="{A7896A00-8422-5C05-9FD9-0E05D2B9AF06}"/>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25400</xdr:rowOff>
    </xdr:from>
    <xdr:to>
      <xdr:col>3</xdr:col>
      <xdr:colOff>12700</xdr:colOff>
      <xdr:row>4</xdr:row>
      <xdr:rowOff>114300</xdr:rowOff>
    </xdr:to>
    <xdr:pic>
      <xdr:nvPicPr>
        <xdr:cNvPr id="3" name="cmdSpecifySets">
          <a:extLst>
            <a:ext uri="{FF2B5EF4-FFF2-40B4-BE49-F238E27FC236}">
              <a16:creationId xmlns:a16="http://schemas.microsoft.com/office/drawing/2014/main" id="{FEB2EEC9-7C95-4214-4159-93339F1CDAE2}"/>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56100" y="533400"/>
          <a:ext cx="2171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4</xdr:row>
      <xdr:rowOff>152400</xdr:rowOff>
    </xdr:to>
    <xdr:sp macro="" textlink="">
      <xdr:nvSpPr>
        <xdr:cNvPr id="71681" name="cmdSpecifySets" hidden="1">
          <a:extLst>
            <a:ext uri="{63B3BB69-23CF-44E3-9099-C40C66FF867C}">
              <a14:compatExt xmlns:a14="http://schemas.microsoft.com/office/drawing/2010/main" spid="_x0000_s71681"/>
            </a:ext>
            <a:ext uri="{FF2B5EF4-FFF2-40B4-BE49-F238E27FC236}">
              <a16:creationId xmlns:a16="http://schemas.microsoft.com/office/drawing/2014/main" id="{00000000-0008-0000-2E00-000001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71682" name="cmdCheckCommoditiesSheet" hidden="1">
          <a:extLst>
            <a:ext uri="{63B3BB69-23CF-44E3-9099-C40C66FF867C}">
              <a14:compatExt xmlns:a14="http://schemas.microsoft.com/office/drawing/2010/main" spid="_x0000_s71682"/>
            </a:ext>
            <a:ext uri="{FF2B5EF4-FFF2-40B4-BE49-F238E27FC236}">
              <a16:creationId xmlns:a16="http://schemas.microsoft.com/office/drawing/2014/main" id="{00000000-0008-0000-2E00-000002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673100</xdr:colOff>
      <xdr:row>4</xdr:row>
      <xdr:rowOff>152400</xdr:rowOff>
    </xdr:to>
    <xdr:sp macro="" textlink="">
      <xdr:nvSpPr>
        <xdr:cNvPr id="71683" name="cmdCommUnit" hidden="1">
          <a:extLst>
            <a:ext uri="{63B3BB69-23CF-44E3-9099-C40C66FF867C}">
              <a14:compatExt xmlns:a14="http://schemas.microsoft.com/office/drawing/2010/main" spid="_x0000_s71683"/>
            </a:ext>
            <a:ext uri="{FF2B5EF4-FFF2-40B4-BE49-F238E27FC236}">
              <a16:creationId xmlns:a16="http://schemas.microsoft.com/office/drawing/2014/main" id="{00000000-0008-0000-2E00-00000318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4</xdr:row>
      <xdr:rowOff>152400</xdr:rowOff>
    </xdr:to>
    <xdr:pic>
      <xdr:nvPicPr>
        <xdr:cNvPr id="2" name="cmdSpecifySets">
          <a:extLst>
            <a:ext uri="{FF2B5EF4-FFF2-40B4-BE49-F238E27FC236}">
              <a16:creationId xmlns:a16="http://schemas.microsoft.com/office/drawing/2014/main" id="{7D7BA472-63E6-7A2F-5EBF-FA4BB0AFB59F}"/>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30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CommoditiesSheet">
          <a:extLst>
            <a:ext uri="{FF2B5EF4-FFF2-40B4-BE49-F238E27FC236}">
              <a16:creationId xmlns:a16="http://schemas.microsoft.com/office/drawing/2014/main" id="{AFD43506-10BD-84A0-2AC9-F5E4B47B43A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673100</xdr:colOff>
      <xdr:row>4</xdr:row>
      <xdr:rowOff>152400</xdr:rowOff>
    </xdr:to>
    <xdr:pic>
      <xdr:nvPicPr>
        <xdr:cNvPr id="4" name="cmdCommUnit">
          <a:extLst>
            <a:ext uri="{FF2B5EF4-FFF2-40B4-BE49-F238E27FC236}">
              <a16:creationId xmlns:a16="http://schemas.microsoft.com/office/drawing/2014/main" id="{12A0DA9F-D38B-CB8E-2AC4-CC7460291F4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30600" y="558800"/>
          <a:ext cx="6604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25400</xdr:colOff>
      <xdr:row>3</xdr:row>
      <xdr:rowOff>139700</xdr:rowOff>
    </xdr:from>
    <xdr:to>
      <xdr:col>4</xdr:col>
      <xdr:colOff>1930400</xdr:colOff>
      <xdr:row>5</xdr:row>
      <xdr:rowOff>0</xdr:rowOff>
    </xdr:to>
    <xdr:sp macro="" textlink="">
      <xdr:nvSpPr>
        <xdr:cNvPr id="80897" name="cmdSpecifySets" hidden="1">
          <a:extLst>
            <a:ext uri="{63B3BB69-23CF-44E3-9099-C40C66FF867C}">
              <a14:compatExt xmlns:a14="http://schemas.microsoft.com/office/drawing/2010/main" spid="_x0000_s80897"/>
            </a:ext>
            <a:ext uri="{FF2B5EF4-FFF2-40B4-BE49-F238E27FC236}">
              <a16:creationId xmlns:a16="http://schemas.microsoft.com/office/drawing/2014/main" id="{00000000-0008-0000-2F00-000001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101600</xdr:rowOff>
    </xdr:to>
    <xdr:sp macro="" textlink="">
      <xdr:nvSpPr>
        <xdr:cNvPr id="80898" name="cmdCheckTechnologiesSheet" hidden="1">
          <a:extLst>
            <a:ext uri="{63B3BB69-23CF-44E3-9099-C40C66FF867C}">
              <a14:compatExt xmlns:a14="http://schemas.microsoft.com/office/drawing/2010/main" spid="_x0000_s80898"/>
            </a:ext>
            <a:ext uri="{FF2B5EF4-FFF2-40B4-BE49-F238E27FC236}">
              <a16:creationId xmlns:a16="http://schemas.microsoft.com/office/drawing/2014/main" id="{00000000-0008-0000-2F00-000002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139700</xdr:rowOff>
    </xdr:from>
    <xdr:to>
      <xdr:col>3</xdr:col>
      <xdr:colOff>647700</xdr:colOff>
      <xdr:row>5</xdr:row>
      <xdr:rowOff>0</xdr:rowOff>
    </xdr:to>
    <xdr:sp macro="" textlink="">
      <xdr:nvSpPr>
        <xdr:cNvPr id="80899" name="cmdProcUnits" hidden="1">
          <a:extLst>
            <a:ext uri="{63B3BB69-23CF-44E3-9099-C40C66FF867C}">
              <a14:compatExt xmlns:a14="http://schemas.microsoft.com/office/drawing/2010/main" spid="_x0000_s80899"/>
            </a:ext>
            <a:ext uri="{FF2B5EF4-FFF2-40B4-BE49-F238E27FC236}">
              <a16:creationId xmlns:a16="http://schemas.microsoft.com/office/drawing/2014/main" id="{00000000-0008-0000-2F00-0000033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3</xdr:row>
      <xdr:rowOff>139700</xdr:rowOff>
    </xdr:from>
    <xdr:to>
      <xdr:col>4</xdr:col>
      <xdr:colOff>1930400</xdr:colOff>
      <xdr:row>5</xdr:row>
      <xdr:rowOff>0</xdr:rowOff>
    </xdr:to>
    <xdr:pic>
      <xdr:nvPicPr>
        <xdr:cNvPr id="2" name="cmdSpecifySets">
          <a:extLst>
            <a:ext uri="{FF2B5EF4-FFF2-40B4-BE49-F238E27FC236}">
              <a16:creationId xmlns:a16="http://schemas.microsoft.com/office/drawing/2014/main" id="{F35777E6-8B7F-E819-053A-8622D022F8EE}"/>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38700" y="558800"/>
          <a:ext cx="190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0</xdr:col>
      <xdr:colOff>825500</xdr:colOff>
      <xdr:row>3</xdr:row>
      <xdr:rowOff>101600</xdr:rowOff>
    </xdr:to>
    <xdr:pic>
      <xdr:nvPicPr>
        <xdr:cNvPr id="3" name="cmdCheckTechnologiesSheet">
          <a:extLst>
            <a:ext uri="{FF2B5EF4-FFF2-40B4-BE49-F238E27FC236}">
              <a16:creationId xmlns:a16="http://schemas.microsoft.com/office/drawing/2014/main" id="{66670BE3-09A4-C185-270D-92F745719DA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139700</xdr:rowOff>
    </xdr:from>
    <xdr:to>
      <xdr:col>3</xdr:col>
      <xdr:colOff>647700</xdr:colOff>
      <xdr:row>5</xdr:row>
      <xdr:rowOff>0</xdr:rowOff>
    </xdr:to>
    <xdr:pic>
      <xdr:nvPicPr>
        <xdr:cNvPr id="4" name="cmdProcUnits">
          <a:extLst>
            <a:ext uri="{FF2B5EF4-FFF2-40B4-BE49-F238E27FC236}">
              <a16:creationId xmlns:a16="http://schemas.microsoft.com/office/drawing/2014/main" id="{855E0684-DA0C-E3E8-7159-09BC71EA42ED}"/>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75100" y="558800"/>
          <a:ext cx="6350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25400</xdr:colOff>
      <xdr:row>4</xdr:row>
      <xdr:rowOff>25400</xdr:rowOff>
    </xdr:from>
    <xdr:to>
      <xdr:col>5</xdr:col>
      <xdr:colOff>25400</xdr:colOff>
      <xdr:row>5</xdr:row>
      <xdr:rowOff>25400</xdr:rowOff>
    </xdr:to>
    <xdr:sp macro="" textlink="">
      <xdr:nvSpPr>
        <xdr:cNvPr id="101377" name="cmdConstraintSets" hidden="1">
          <a:extLst>
            <a:ext uri="{63B3BB69-23CF-44E3-9099-C40C66FF867C}">
              <a14:compatExt xmlns:a14="http://schemas.microsoft.com/office/drawing/2010/main" spid="_x0000_s101377"/>
            </a:ext>
            <a:ext uri="{FF2B5EF4-FFF2-40B4-BE49-F238E27FC236}">
              <a16:creationId xmlns:a16="http://schemas.microsoft.com/office/drawing/2014/main" id="{00000000-0008-0000-3000-000001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0</xdr:rowOff>
    </xdr:from>
    <xdr:to>
      <xdr:col>0</xdr:col>
      <xdr:colOff>787400</xdr:colOff>
      <xdr:row>4</xdr:row>
      <xdr:rowOff>0</xdr:rowOff>
    </xdr:to>
    <xdr:sp macro="" textlink="">
      <xdr:nvSpPr>
        <xdr:cNvPr id="101378" name="cmdCheckConstraintsSheet" hidden="1">
          <a:extLst>
            <a:ext uri="{63B3BB69-23CF-44E3-9099-C40C66FF867C}">
              <a14:compatExt xmlns:a14="http://schemas.microsoft.com/office/drawing/2010/main" spid="_x0000_s101378"/>
            </a:ext>
            <a:ext uri="{FF2B5EF4-FFF2-40B4-BE49-F238E27FC236}">
              <a16:creationId xmlns:a16="http://schemas.microsoft.com/office/drawing/2014/main" id="{00000000-0008-0000-3000-000002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4</xdr:row>
      <xdr:rowOff>12700</xdr:rowOff>
    </xdr:from>
    <xdr:to>
      <xdr:col>3</xdr:col>
      <xdr:colOff>571500</xdr:colOff>
      <xdr:row>5</xdr:row>
      <xdr:rowOff>25400</xdr:rowOff>
    </xdr:to>
    <xdr:sp macro="" textlink="">
      <xdr:nvSpPr>
        <xdr:cNvPr id="101379" name="cmdConstraintUnit" hidden="1">
          <a:extLst>
            <a:ext uri="{63B3BB69-23CF-44E3-9099-C40C66FF867C}">
              <a14:compatExt xmlns:a14="http://schemas.microsoft.com/office/drawing/2010/main" spid="_x0000_s101379"/>
            </a:ext>
            <a:ext uri="{FF2B5EF4-FFF2-40B4-BE49-F238E27FC236}">
              <a16:creationId xmlns:a16="http://schemas.microsoft.com/office/drawing/2014/main" id="{00000000-0008-0000-3000-0000038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25400</xdr:colOff>
      <xdr:row>4</xdr:row>
      <xdr:rowOff>25400</xdr:rowOff>
    </xdr:from>
    <xdr:to>
      <xdr:col>5</xdr:col>
      <xdr:colOff>25400</xdr:colOff>
      <xdr:row>5</xdr:row>
      <xdr:rowOff>25400</xdr:rowOff>
    </xdr:to>
    <xdr:pic>
      <xdr:nvPicPr>
        <xdr:cNvPr id="2" name="cmdConstraintSets">
          <a:extLst>
            <a:ext uri="{FF2B5EF4-FFF2-40B4-BE49-F238E27FC236}">
              <a16:creationId xmlns:a16="http://schemas.microsoft.com/office/drawing/2014/main" id="{BED8CAC1-420B-10B9-C543-5EE681BA8E27}"/>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26000" y="673100"/>
          <a:ext cx="2171700" cy="215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0</xdr:rowOff>
    </xdr:from>
    <xdr:to>
      <xdr:col>0</xdr:col>
      <xdr:colOff>787400</xdr:colOff>
      <xdr:row>4</xdr:row>
      <xdr:rowOff>0</xdr:rowOff>
    </xdr:to>
    <xdr:pic>
      <xdr:nvPicPr>
        <xdr:cNvPr id="3" name="cmdCheckConstraintsSheet">
          <a:extLst>
            <a:ext uri="{FF2B5EF4-FFF2-40B4-BE49-F238E27FC236}">
              <a16:creationId xmlns:a16="http://schemas.microsoft.com/office/drawing/2014/main" id="{98021534-8B86-C814-DEB3-B10A9E392145}"/>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00" y="419100"/>
          <a:ext cx="774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4</xdr:row>
      <xdr:rowOff>12700</xdr:rowOff>
    </xdr:from>
    <xdr:to>
      <xdr:col>3</xdr:col>
      <xdr:colOff>571500</xdr:colOff>
      <xdr:row>5</xdr:row>
      <xdr:rowOff>25400</xdr:rowOff>
    </xdr:to>
    <xdr:pic>
      <xdr:nvPicPr>
        <xdr:cNvPr id="4" name="cmdConstraintUnit">
          <a:extLst>
            <a:ext uri="{FF2B5EF4-FFF2-40B4-BE49-F238E27FC236}">
              <a16:creationId xmlns:a16="http://schemas.microsoft.com/office/drawing/2014/main" id="{601E698F-3044-FFBC-8ED7-D6F06C0E09BA}"/>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64000" y="660400"/>
          <a:ext cx="5461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12700</xdr:colOff>
      <xdr:row>3</xdr:row>
      <xdr:rowOff>38100</xdr:rowOff>
    </xdr:from>
    <xdr:to>
      <xdr:col>0</xdr:col>
      <xdr:colOff>825500</xdr:colOff>
      <xdr:row>4</xdr:row>
      <xdr:rowOff>25400</xdr:rowOff>
    </xdr:to>
    <xdr:sp macro="" textlink="">
      <xdr:nvSpPr>
        <xdr:cNvPr id="90113" name="cmdAddParameter" hidden="1">
          <a:extLst>
            <a:ext uri="{63B3BB69-23CF-44E3-9099-C40C66FF867C}">
              <a14:compatExt xmlns:a14="http://schemas.microsoft.com/office/drawing/2010/main" spid="_x0000_s90113"/>
            </a:ext>
            <a:ext uri="{FF2B5EF4-FFF2-40B4-BE49-F238E27FC236}">
              <a16:creationId xmlns:a16="http://schemas.microsoft.com/office/drawing/2014/main" id="{00000000-0008-0000-3100-000001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3</xdr:col>
      <xdr:colOff>0</xdr:colOff>
      <xdr:row>3</xdr:row>
      <xdr:rowOff>50800</xdr:rowOff>
    </xdr:to>
    <xdr:sp macro="" textlink="">
      <xdr:nvSpPr>
        <xdr:cNvPr id="90114" name="cmdCommNameAndDesc" hidden="1">
          <a:extLst>
            <a:ext uri="{63B3BB69-23CF-44E3-9099-C40C66FF867C}">
              <a14:compatExt xmlns:a14="http://schemas.microsoft.com/office/drawing/2010/main" spid="_x0000_s90114"/>
            </a:ext>
            <a:ext uri="{FF2B5EF4-FFF2-40B4-BE49-F238E27FC236}">
              <a16:creationId xmlns:a16="http://schemas.microsoft.com/office/drawing/2014/main" id="{00000000-0008-0000-3100-000002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825500</xdr:colOff>
      <xdr:row>5</xdr:row>
      <xdr:rowOff>12700</xdr:rowOff>
    </xdr:to>
    <xdr:sp macro="" textlink="">
      <xdr:nvSpPr>
        <xdr:cNvPr id="90115" name="cmdAddParamQualifier1" hidden="1">
          <a:extLst>
            <a:ext uri="{63B3BB69-23CF-44E3-9099-C40C66FF867C}">
              <a14:compatExt xmlns:a14="http://schemas.microsoft.com/office/drawing/2010/main" spid="_x0000_s90115"/>
            </a:ext>
            <a:ext uri="{FF2B5EF4-FFF2-40B4-BE49-F238E27FC236}">
              <a16:creationId xmlns:a16="http://schemas.microsoft.com/office/drawing/2014/main" id="{00000000-0008-0000-3100-000003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127000</xdr:rowOff>
    </xdr:from>
    <xdr:to>
      <xdr:col>0</xdr:col>
      <xdr:colOff>825500</xdr:colOff>
      <xdr:row>3</xdr:row>
      <xdr:rowOff>25400</xdr:rowOff>
    </xdr:to>
    <xdr:sp macro="" textlink="">
      <xdr:nvSpPr>
        <xdr:cNvPr id="90116" name="cmdCheckCommDataSheet" hidden="1">
          <a:extLst>
            <a:ext uri="{63B3BB69-23CF-44E3-9099-C40C66FF867C}">
              <a14:compatExt xmlns:a14="http://schemas.microsoft.com/office/drawing/2010/main" spid="_x0000_s90116"/>
            </a:ext>
            <a:ext uri="{FF2B5EF4-FFF2-40B4-BE49-F238E27FC236}">
              <a16:creationId xmlns:a16="http://schemas.microsoft.com/office/drawing/2014/main" id="{00000000-0008-0000-3100-000004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0</xdr:col>
      <xdr:colOff>825500</xdr:colOff>
      <xdr:row>6</xdr:row>
      <xdr:rowOff>12700</xdr:rowOff>
    </xdr:to>
    <xdr:sp macro="" textlink="">
      <xdr:nvSpPr>
        <xdr:cNvPr id="90118" name="cmdAddParamQualifier2" hidden="1">
          <a:extLst>
            <a:ext uri="{63B3BB69-23CF-44E3-9099-C40C66FF867C}">
              <a14:compatExt xmlns:a14="http://schemas.microsoft.com/office/drawing/2010/main" spid="_x0000_s90118"/>
            </a:ext>
            <a:ext uri="{FF2B5EF4-FFF2-40B4-BE49-F238E27FC236}">
              <a16:creationId xmlns:a16="http://schemas.microsoft.com/office/drawing/2014/main" id="{00000000-0008-0000-3100-0000066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38100</xdr:rowOff>
    </xdr:from>
    <xdr:to>
      <xdr:col>0</xdr:col>
      <xdr:colOff>825500</xdr:colOff>
      <xdr:row>4</xdr:row>
      <xdr:rowOff>25400</xdr:rowOff>
    </xdr:to>
    <xdr:pic>
      <xdr:nvPicPr>
        <xdr:cNvPr id="2" name="cmdAddParameter">
          <a:extLst>
            <a:ext uri="{FF2B5EF4-FFF2-40B4-BE49-F238E27FC236}">
              <a16:creationId xmlns:a16="http://schemas.microsoft.com/office/drawing/2014/main" id="{8A9F0C5D-D345-CBE2-A8B3-9B110B3BAB8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5080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25400</xdr:colOff>
      <xdr:row>2</xdr:row>
      <xdr:rowOff>0</xdr:rowOff>
    </xdr:from>
    <xdr:to>
      <xdr:col>3</xdr:col>
      <xdr:colOff>0</xdr:colOff>
      <xdr:row>3</xdr:row>
      <xdr:rowOff>50800</xdr:rowOff>
    </xdr:to>
    <xdr:pic>
      <xdr:nvPicPr>
        <xdr:cNvPr id="3" name="cmdCommNameAndDesc">
          <a:extLst>
            <a:ext uri="{FF2B5EF4-FFF2-40B4-BE49-F238E27FC236}">
              <a16:creationId xmlns:a16="http://schemas.microsoft.com/office/drawing/2014/main" id="{87A2C11E-F9C1-9FB7-087E-28470A9567E3}"/>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5700" y="279400"/>
          <a:ext cx="2476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825500</xdr:colOff>
      <xdr:row>5</xdr:row>
      <xdr:rowOff>12700</xdr:rowOff>
    </xdr:to>
    <xdr:pic>
      <xdr:nvPicPr>
        <xdr:cNvPr id="4" name="cmdAddParamQualifier1">
          <a:extLst>
            <a:ext uri="{FF2B5EF4-FFF2-40B4-BE49-F238E27FC236}">
              <a16:creationId xmlns:a16="http://schemas.microsoft.com/office/drawing/2014/main" id="{37E08BD3-4D2A-1FB3-A94B-DDE2CD0633E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700" y="7493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127000</xdr:rowOff>
    </xdr:from>
    <xdr:to>
      <xdr:col>0</xdr:col>
      <xdr:colOff>825500</xdr:colOff>
      <xdr:row>3</xdr:row>
      <xdr:rowOff>25400</xdr:rowOff>
    </xdr:to>
    <xdr:pic>
      <xdr:nvPicPr>
        <xdr:cNvPr id="5" name="cmdCheckCommDataSheet">
          <a:extLst>
            <a:ext uri="{FF2B5EF4-FFF2-40B4-BE49-F238E27FC236}">
              <a16:creationId xmlns:a16="http://schemas.microsoft.com/office/drawing/2014/main" id="{4CAF5376-CC65-808C-D94E-8418CED675E7}"/>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667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0</xdr:col>
      <xdr:colOff>825500</xdr:colOff>
      <xdr:row>6</xdr:row>
      <xdr:rowOff>12700</xdr:rowOff>
    </xdr:to>
    <xdr:pic>
      <xdr:nvPicPr>
        <xdr:cNvPr id="6" name="cmdAddParamQualifier2">
          <a:extLst>
            <a:ext uri="{FF2B5EF4-FFF2-40B4-BE49-F238E27FC236}">
              <a16:creationId xmlns:a16="http://schemas.microsoft.com/office/drawing/2014/main" id="{B188CD54-AFE8-0A3E-654A-7B46320FB2BE}"/>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990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1</xdr:row>
      <xdr:rowOff>114300</xdr:rowOff>
    </xdr:from>
    <xdr:to>
      <xdr:col>2</xdr:col>
      <xdr:colOff>1308100</xdr:colOff>
      <xdr:row>2</xdr:row>
      <xdr:rowOff>215900</xdr:rowOff>
    </xdr:to>
    <xdr:sp macro="" textlink="">
      <xdr:nvSpPr>
        <xdr:cNvPr id="113665" name="cmdTechNameAndDesc" hidden="1">
          <a:extLst>
            <a:ext uri="{63B3BB69-23CF-44E3-9099-C40C66FF867C}">
              <a14:compatExt xmlns:a14="http://schemas.microsoft.com/office/drawing/2010/main" spid="_x0000_s113665"/>
            </a:ext>
            <a:ext uri="{FF2B5EF4-FFF2-40B4-BE49-F238E27FC236}">
              <a16:creationId xmlns:a16="http://schemas.microsoft.com/office/drawing/2014/main" id="{00000000-0008-0000-3200-000001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1</xdr:row>
      <xdr:rowOff>114300</xdr:rowOff>
    </xdr:from>
    <xdr:to>
      <xdr:col>5</xdr:col>
      <xdr:colOff>25400</xdr:colOff>
      <xdr:row>2</xdr:row>
      <xdr:rowOff>215900</xdr:rowOff>
    </xdr:to>
    <xdr:sp macro="" textlink="">
      <xdr:nvSpPr>
        <xdr:cNvPr id="113666" name="cmdCommIN" hidden="1">
          <a:extLst>
            <a:ext uri="{63B3BB69-23CF-44E3-9099-C40C66FF867C}">
              <a14:compatExt xmlns:a14="http://schemas.microsoft.com/office/drawing/2010/main" spid="_x0000_s113666"/>
            </a:ext>
            <a:ext uri="{FF2B5EF4-FFF2-40B4-BE49-F238E27FC236}">
              <a16:creationId xmlns:a16="http://schemas.microsoft.com/office/drawing/2014/main" id="{00000000-0008-0000-3200-000002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1</xdr:row>
      <xdr:rowOff>114300</xdr:rowOff>
    </xdr:from>
    <xdr:to>
      <xdr:col>5</xdr:col>
      <xdr:colOff>622300</xdr:colOff>
      <xdr:row>2</xdr:row>
      <xdr:rowOff>215900</xdr:rowOff>
    </xdr:to>
    <xdr:sp macro="" textlink="">
      <xdr:nvSpPr>
        <xdr:cNvPr id="113667" name="cmdCommOUT" hidden="1">
          <a:extLst>
            <a:ext uri="{63B3BB69-23CF-44E3-9099-C40C66FF867C}">
              <a14:compatExt xmlns:a14="http://schemas.microsoft.com/office/drawing/2010/main" spid="_x0000_s113667"/>
            </a:ext>
            <a:ext uri="{FF2B5EF4-FFF2-40B4-BE49-F238E27FC236}">
              <a16:creationId xmlns:a16="http://schemas.microsoft.com/office/drawing/2014/main" id="{00000000-0008-0000-3200-000003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190500</xdr:rowOff>
    </xdr:from>
    <xdr:to>
      <xdr:col>1</xdr:col>
      <xdr:colOff>12700</xdr:colOff>
      <xdr:row>3</xdr:row>
      <xdr:rowOff>152400</xdr:rowOff>
    </xdr:to>
    <xdr:sp macro="" textlink="">
      <xdr:nvSpPr>
        <xdr:cNvPr id="113668" name="cmdAddParameter" hidden="1">
          <a:extLst>
            <a:ext uri="{63B3BB69-23CF-44E3-9099-C40C66FF867C}">
              <a14:compatExt xmlns:a14="http://schemas.microsoft.com/office/drawing/2010/main" spid="_x0000_s113668"/>
            </a:ext>
            <a:ext uri="{FF2B5EF4-FFF2-40B4-BE49-F238E27FC236}">
              <a16:creationId xmlns:a16="http://schemas.microsoft.com/office/drawing/2014/main" id="{00000000-0008-0000-3200-000004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3</xdr:row>
      <xdr:rowOff>177800</xdr:rowOff>
    </xdr:from>
    <xdr:to>
      <xdr:col>1</xdr:col>
      <xdr:colOff>12700</xdr:colOff>
      <xdr:row>4</xdr:row>
      <xdr:rowOff>190500</xdr:rowOff>
    </xdr:to>
    <xdr:sp macro="" textlink="">
      <xdr:nvSpPr>
        <xdr:cNvPr id="113669" name="cmdAddParamQualifier1" hidden="1">
          <a:extLst>
            <a:ext uri="{63B3BB69-23CF-44E3-9099-C40C66FF867C}">
              <a14:compatExt xmlns:a14="http://schemas.microsoft.com/office/drawing/2010/main" spid="_x0000_s113669"/>
            </a:ext>
            <a:ext uri="{FF2B5EF4-FFF2-40B4-BE49-F238E27FC236}">
              <a16:creationId xmlns:a16="http://schemas.microsoft.com/office/drawing/2014/main" id="{00000000-0008-0000-3200-000005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1</xdr:row>
      <xdr:rowOff>114300</xdr:rowOff>
    </xdr:from>
    <xdr:to>
      <xdr:col>1</xdr:col>
      <xdr:colOff>12700</xdr:colOff>
      <xdr:row>2</xdr:row>
      <xdr:rowOff>215900</xdr:rowOff>
    </xdr:to>
    <xdr:sp macro="" textlink="">
      <xdr:nvSpPr>
        <xdr:cNvPr id="113670" name="cmdCheckTechDataSheet" hidden="1">
          <a:extLst>
            <a:ext uri="{63B3BB69-23CF-44E3-9099-C40C66FF867C}">
              <a14:compatExt xmlns:a14="http://schemas.microsoft.com/office/drawing/2010/main" spid="_x0000_s113670"/>
            </a:ext>
            <a:ext uri="{FF2B5EF4-FFF2-40B4-BE49-F238E27FC236}">
              <a16:creationId xmlns:a16="http://schemas.microsoft.com/office/drawing/2014/main" id="{00000000-0008-0000-3200-000006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5</xdr:row>
      <xdr:rowOff>25400</xdr:rowOff>
    </xdr:from>
    <xdr:to>
      <xdr:col>1</xdr:col>
      <xdr:colOff>12700</xdr:colOff>
      <xdr:row>6</xdr:row>
      <xdr:rowOff>38100</xdr:rowOff>
    </xdr:to>
    <xdr:sp macro="" textlink="">
      <xdr:nvSpPr>
        <xdr:cNvPr id="113672" name="cmdAddParamQualifier2" hidden="1">
          <a:extLst>
            <a:ext uri="{63B3BB69-23CF-44E3-9099-C40C66FF867C}">
              <a14:compatExt xmlns:a14="http://schemas.microsoft.com/office/drawing/2010/main" spid="_x0000_s113672"/>
            </a:ext>
            <a:ext uri="{FF2B5EF4-FFF2-40B4-BE49-F238E27FC236}">
              <a16:creationId xmlns:a16="http://schemas.microsoft.com/office/drawing/2014/main" id="{00000000-0008-0000-3200-000008BC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1</xdr:row>
      <xdr:rowOff>114300</xdr:rowOff>
    </xdr:from>
    <xdr:to>
      <xdr:col>2</xdr:col>
      <xdr:colOff>1308100</xdr:colOff>
      <xdr:row>2</xdr:row>
      <xdr:rowOff>215900</xdr:rowOff>
    </xdr:to>
    <xdr:pic>
      <xdr:nvPicPr>
        <xdr:cNvPr id="2" name="cmdTechNameAndDesc">
          <a:extLst>
            <a:ext uri="{FF2B5EF4-FFF2-40B4-BE49-F238E27FC236}">
              <a16:creationId xmlns:a16="http://schemas.microsoft.com/office/drawing/2014/main" id="{5CE81F0F-EB6B-6182-1425-592850AA77DB}"/>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9800" y="254000"/>
          <a:ext cx="1955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1</xdr:row>
      <xdr:rowOff>114300</xdr:rowOff>
    </xdr:from>
    <xdr:to>
      <xdr:col>5</xdr:col>
      <xdr:colOff>25400</xdr:colOff>
      <xdr:row>2</xdr:row>
      <xdr:rowOff>215900</xdr:rowOff>
    </xdr:to>
    <xdr:pic>
      <xdr:nvPicPr>
        <xdr:cNvPr id="3" name="cmdCommIN">
          <a:extLst>
            <a:ext uri="{FF2B5EF4-FFF2-40B4-BE49-F238E27FC236}">
              <a16:creationId xmlns:a16="http://schemas.microsoft.com/office/drawing/2014/main" id="{2734226B-3491-839A-1DF5-66F4C070702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89400" y="254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1</xdr:row>
      <xdr:rowOff>114300</xdr:rowOff>
    </xdr:from>
    <xdr:to>
      <xdr:col>5</xdr:col>
      <xdr:colOff>622300</xdr:colOff>
      <xdr:row>2</xdr:row>
      <xdr:rowOff>215900</xdr:rowOff>
    </xdr:to>
    <xdr:pic>
      <xdr:nvPicPr>
        <xdr:cNvPr id="4" name="cmdCommOUT">
          <a:extLst>
            <a:ext uri="{FF2B5EF4-FFF2-40B4-BE49-F238E27FC236}">
              <a16:creationId xmlns:a16="http://schemas.microsoft.com/office/drawing/2014/main" id="{1A6CCCEE-947C-16DA-253D-DCCFC2DE36D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00" y="254000"/>
          <a:ext cx="622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190500</xdr:rowOff>
    </xdr:from>
    <xdr:to>
      <xdr:col>1</xdr:col>
      <xdr:colOff>12700</xdr:colOff>
      <xdr:row>3</xdr:row>
      <xdr:rowOff>152400</xdr:rowOff>
    </xdr:to>
    <xdr:pic>
      <xdr:nvPicPr>
        <xdr:cNvPr id="5" name="cmdAddParameter">
          <a:extLst>
            <a:ext uri="{FF2B5EF4-FFF2-40B4-BE49-F238E27FC236}">
              <a16:creationId xmlns:a16="http://schemas.microsoft.com/office/drawing/2014/main" id="{EBA15C8A-83F4-887C-9C7B-3A06CA7BF844}"/>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469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3</xdr:row>
      <xdr:rowOff>177800</xdr:rowOff>
    </xdr:from>
    <xdr:to>
      <xdr:col>1</xdr:col>
      <xdr:colOff>12700</xdr:colOff>
      <xdr:row>4</xdr:row>
      <xdr:rowOff>190500</xdr:rowOff>
    </xdr:to>
    <xdr:pic>
      <xdr:nvPicPr>
        <xdr:cNvPr id="6" name="cmdAddParamQualifier1">
          <a:extLst>
            <a:ext uri="{FF2B5EF4-FFF2-40B4-BE49-F238E27FC236}">
              <a16:creationId xmlns:a16="http://schemas.microsoft.com/office/drawing/2014/main" id="{BCFAA518-EBCF-9DCA-544D-AACF5117EEA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700" y="7239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1</xdr:row>
      <xdr:rowOff>114300</xdr:rowOff>
    </xdr:from>
    <xdr:to>
      <xdr:col>1</xdr:col>
      <xdr:colOff>12700</xdr:colOff>
      <xdr:row>2</xdr:row>
      <xdr:rowOff>215900</xdr:rowOff>
    </xdr:to>
    <xdr:pic>
      <xdr:nvPicPr>
        <xdr:cNvPr id="7" name="cmdCheckTechDataSheet">
          <a:extLst>
            <a:ext uri="{FF2B5EF4-FFF2-40B4-BE49-F238E27FC236}">
              <a16:creationId xmlns:a16="http://schemas.microsoft.com/office/drawing/2014/main" id="{4D919D9B-406C-BDBE-CF48-00DC3E37352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700" y="2540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5</xdr:row>
      <xdr:rowOff>25400</xdr:rowOff>
    </xdr:from>
    <xdr:to>
      <xdr:col>1</xdr:col>
      <xdr:colOff>12700</xdr:colOff>
      <xdr:row>6</xdr:row>
      <xdr:rowOff>38100</xdr:rowOff>
    </xdr:to>
    <xdr:pic>
      <xdr:nvPicPr>
        <xdr:cNvPr id="8" name="cmdAddParamQualifier2">
          <a:extLst>
            <a:ext uri="{FF2B5EF4-FFF2-40B4-BE49-F238E27FC236}">
              <a16:creationId xmlns:a16="http://schemas.microsoft.com/office/drawing/2014/main" id="{33616531-883F-3B0A-BE47-483603DC7825}"/>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00" y="990600"/>
          <a:ext cx="939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25400</xdr:colOff>
      <xdr:row>2</xdr:row>
      <xdr:rowOff>0</xdr:rowOff>
    </xdr:from>
    <xdr:to>
      <xdr:col>2</xdr:col>
      <xdr:colOff>1092200</xdr:colOff>
      <xdr:row>2</xdr:row>
      <xdr:rowOff>190500</xdr:rowOff>
    </xdr:to>
    <xdr:sp macro="" textlink="">
      <xdr:nvSpPr>
        <xdr:cNvPr id="102401" name="cmdConstrNameAndDesc" hidden="1">
          <a:extLst>
            <a:ext uri="{63B3BB69-23CF-44E3-9099-C40C66FF867C}">
              <a14:compatExt xmlns:a14="http://schemas.microsoft.com/office/drawing/2010/main" spid="_x0000_s102401"/>
            </a:ext>
            <a:ext uri="{FF2B5EF4-FFF2-40B4-BE49-F238E27FC236}">
              <a16:creationId xmlns:a16="http://schemas.microsoft.com/office/drawing/2014/main" id="{00000000-0008-0000-3300-000001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2</xdr:row>
      <xdr:rowOff>0</xdr:rowOff>
    </xdr:from>
    <xdr:to>
      <xdr:col>5</xdr:col>
      <xdr:colOff>0</xdr:colOff>
      <xdr:row>2</xdr:row>
      <xdr:rowOff>241300</xdr:rowOff>
    </xdr:to>
    <xdr:sp macro="" textlink="">
      <xdr:nvSpPr>
        <xdr:cNvPr id="102402" name="cmdProcName" hidden="1">
          <a:extLst>
            <a:ext uri="{63B3BB69-23CF-44E3-9099-C40C66FF867C}">
              <a14:compatExt xmlns:a14="http://schemas.microsoft.com/office/drawing/2010/main" spid="_x0000_s102402"/>
            </a:ext>
            <a:ext uri="{FF2B5EF4-FFF2-40B4-BE49-F238E27FC236}">
              <a16:creationId xmlns:a16="http://schemas.microsoft.com/office/drawing/2014/main" id="{00000000-0008-0000-3300-000002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190500</xdr:rowOff>
    </xdr:from>
    <xdr:to>
      <xdr:col>0</xdr:col>
      <xdr:colOff>825500</xdr:colOff>
      <xdr:row>3</xdr:row>
      <xdr:rowOff>152400</xdr:rowOff>
    </xdr:to>
    <xdr:sp macro="" textlink="">
      <xdr:nvSpPr>
        <xdr:cNvPr id="102403" name="cmdAddParameter" hidden="1">
          <a:extLst>
            <a:ext uri="{63B3BB69-23CF-44E3-9099-C40C66FF867C}">
              <a14:compatExt xmlns:a14="http://schemas.microsoft.com/office/drawing/2010/main" spid="_x0000_s102403"/>
            </a:ext>
            <a:ext uri="{FF2B5EF4-FFF2-40B4-BE49-F238E27FC236}">
              <a16:creationId xmlns:a16="http://schemas.microsoft.com/office/drawing/2014/main" id="{00000000-0008-0000-3300-000003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1</xdr:col>
      <xdr:colOff>0</xdr:colOff>
      <xdr:row>2</xdr:row>
      <xdr:rowOff>241300</xdr:rowOff>
    </xdr:to>
    <xdr:sp macro="" textlink="">
      <xdr:nvSpPr>
        <xdr:cNvPr id="102404" name="cmdCheckConstrDataSheet" hidden="1">
          <a:extLst>
            <a:ext uri="{63B3BB69-23CF-44E3-9099-C40C66FF867C}">
              <a14:compatExt xmlns:a14="http://schemas.microsoft.com/office/drawing/2010/main" spid="_x0000_s102404"/>
            </a:ext>
            <a:ext uri="{FF2B5EF4-FFF2-40B4-BE49-F238E27FC236}">
              <a16:creationId xmlns:a16="http://schemas.microsoft.com/office/drawing/2014/main" id="{00000000-0008-0000-3300-000004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4</xdr:row>
      <xdr:rowOff>12700</xdr:rowOff>
    </xdr:from>
    <xdr:to>
      <xdr:col>0</xdr:col>
      <xdr:colOff>825500</xdr:colOff>
      <xdr:row>5</xdr:row>
      <xdr:rowOff>25400</xdr:rowOff>
    </xdr:to>
    <xdr:sp macro="" textlink="">
      <xdr:nvSpPr>
        <xdr:cNvPr id="102405" name="cmdAddParamQualifier1" hidden="1">
          <a:extLst>
            <a:ext uri="{63B3BB69-23CF-44E3-9099-C40C66FF867C}">
              <a14:compatExt xmlns:a14="http://schemas.microsoft.com/office/drawing/2010/main" spid="_x0000_s102405"/>
            </a:ext>
            <a:ext uri="{FF2B5EF4-FFF2-40B4-BE49-F238E27FC236}">
              <a16:creationId xmlns:a16="http://schemas.microsoft.com/office/drawing/2014/main" id="{00000000-0008-0000-3300-000005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2</xdr:row>
      <xdr:rowOff>0</xdr:rowOff>
    </xdr:from>
    <xdr:to>
      <xdr:col>6</xdr:col>
      <xdr:colOff>12700</xdr:colOff>
      <xdr:row>2</xdr:row>
      <xdr:rowOff>241300</xdr:rowOff>
    </xdr:to>
    <xdr:sp macro="" textlink="">
      <xdr:nvSpPr>
        <xdr:cNvPr id="102407" name="cmdCommName" hidden="1">
          <a:extLst>
            <a:ext uri="{63B3BB69-23CF-44E3-9099-C40C66FF867C}">
              <a14:compatExt xmlns:a14="http://schemas.microsoft.com/office/drawing/2010/main" spid="_x0000_s102407"/>
            </a:ext>
            <a:ext uri="{FF2B5EF4-FFF2-40B4-BE49-F238E27FC236}">
              <a16:creationId xmlns:a16="http://schemas.microsoft.com/office/drawing/2014/main" id="{00000000-0008-0000-3300-000007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2</xdr:row>
      <xdr:rowOff>0</xdr:rowOff>
    </xdr:from>
    <xdr:to>
      <xdr:col>7</xdr:col>
      <xdr:colOff>12700</xdr:colOff>
      <xdr:row>2</xdr:row>
      <xdr:rowOff>241300</xdr:rowOff>
    </xdr:to>
    <xdr:sp macro="" textlink="">
      <xdr:nvSpPr>
        <xdr:cNvPr id="102408" name="cmdTimeSlice" hidden="1">
          <a:extLst>
            <a:ext uri="{63B3BB69-23CF-44E3-9099-C40C66FF867C}">
              <a14:compatExt xmlns:a14="http://schemas.microsoft.com/office/drawing/2010/main" spid="_x0000_s102408"/>
            </a:ext>
            <a:ext uri="{FF2B5EF4-FFF2-40B4-BE49-F238E27FC236}">
              <a16:creationId xmlns:a16="http://schemas.microsoft.com/office/drawing/2014/main" id="{00000000-0008-0000-3300-000008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5</xdr:row>
      <xdr:rowOff>25400</xdr:rowOff>
    </xdr:from>
    <xdr:to>
      <xdr:col>0</xdr:col>
      <xdr:colOff>825500</xdr:colOff>
      <xdr:row>6</xdr:row>
      <xdr:rowOff>38100</xdr:rowOff>
    </xdr:to>
    <xdr:sp macro="" textlink="">
      <xdr:nvSpPr>
        <xdr:cNvPr id="102409" name="cmdAddParamQualifier2" hidden="1">
          <a:extLst>
            <a:ext uri="{63B3BB69-23CF-44E3-9099-C40C66FF867C}">
              <a14:compatExt xmlns:a14="http://schemas.microsoft.com/office/drawing/2010/main" spid="_x0000_s102409"/>
            </a:ext>
            <a:ext uri="{FF2B5EF4-FFF2-40B4-BE49-F238E27FC236}">
              <a16:creationId xmlns:a16="http://schemas.microsoft.com/office/drawing/2014/main" id="{00000000-0008-0000-3300-0000099001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25400</xdr:colOff>
      <xdr:row>2</xdr:row>
      <xdr:rowOff>0</xdr:rowOff>
    </xdr:from>
    <xdr:to>
      <xdr:col>2</xdr:col>
      <xdr:colOff>1092200</xdr:colOff>
      <xdr:row>2</xdr:row>
      <xdr:rowOff>190500</xdr:rowOff>
    </xdr:to>
    <xdr:pic>
      <xdr:nvPicPr>
        <xdr:cNvPr id="2" name="cmdConstrNameAndDesc">
          <a:extLst>
            <a:ext uri="{FF2B5EF4-FFF2-40B4-BE49-F238E27FC236}">
              <a16:creationId xmlns:a16="http://schemas.microsoft.com/office/drawing/2014/main" id="{B9FC9CB9-25B5-4280-BC74-0D0DEA8F86B8}"/>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7900" y="279400"/>
          <a:ext cx="2019300" cy="1905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2</xdr:row>
      <xdr:rowOff>0</xdr:rowOff>
    </xdr:from>
    <xdr:to>
      <xdr:col>5</xdr:col>
      <xdr:colOff>0</xdr:colOff>
      <xdr:row>2</xdr:row>
      <xdr:rowOff>241300</xdr:rowOff>
    </xdr:to>
    <xdr:pic>
      <xdr:nvPicPr>
        <xdr:cNvPr id="3" name="cmdProcName">
          <a:extLst>
            <a:ext uri="{FF2B5EF4-FFF2-40B4-BE49-F238E27FC236}">
              <a16:creationId xmlns:a16="http://schemas.microsoft.com/office/drawing/2014/main" id="{A7C8DAC2-0118-587B-1CF1-383216F628C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75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2</xdr:row>
      <xdr:rowOff>190500</xdr:rowOff>
    </xdr:from>
    <xdr:to>
      <xdr:col>0</xdr:col>
      <xdr:colOff>825500</xdr:colOff>
      <xdr:row>3</xdr:row>
      <xdr:rowOff>152400</xdr:rowOff>
    </xdr:to>
    <xdr:pic>
      <xdr:nvPicPr>
        <xdr:cNvPr id="4" name="cmdAddParameter">
          <a:extLst>
            <a:ext uri="{FF2B5EF4-FFF2-40B4-BE49-F238E27FC236}">
              <a16:creationId xmlns:a16="http://schemas.microsoft.com/office/drawing/2014/main" id="{6011F3E1-39CB-23CD-8ED2-5ECEB854269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99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2</xdr:row>
      <xdr:rowOff>0</xdr:rowOff>
    </xdr:from>
    <xdr:to>
      <xdr:col>1</xdr:col>
      <xdr:colOff>0</xdr:colOff>
      <xdr:row>2</xdr:row>
      <xdr:rowOff>241300</xdr:rowOff>
    </xdr:to>
    <xdr:pic>
      <xdr:nvPicPr>
        <xdr:cNvPr id="5" name="cmdCheckConstrDataSheet">
          <a:extLst>
            <a:ext uri="{FF2B5EF4-FFF2-40B4-BE49-F238E27FC236}">
              <a16:creationId xmlns:a16="http://schemas.microsoft.com/office/drawing/2014/main" id="{0052D026-7FC4-23FC-298E-D4B798536B5B}"/>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4</xdr:row>
      <xdr:rowOff>12700</xdr:rowOff>
    </xdr:from>
    <xdr:to>
      <xdr:col>0</xdr:col>
      <xdr:colOff>825500</xdr:colOff>
      <xdr:row>5</xdr:row>
      <xdr:rowOff>25400</xdr:rowOff>
    </xdr:to>
    <xdr:pic>
      <xdr:nvPicPr>
        <xdr:cNvPr id="6" name="cmdAddParamQualifier1">
          <a:extLst>
            <a:ext uri="{FF2B5EF4-FFF2-40B4-BE49-F238E27FC236}">
              <a16:creationId xmlns:a16="http://schemas.microsoft.com/office/drawing/2014/main" id="{FF45C7D8-9F90-2AA3-1AD8-B29A6164CFE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7747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2</xdr:row>
      <xdr:rowOff>0</xdr:rowOff>
    </xdr:from>
    <xdr:to>
      <xdr:col>6</xdr:col>
      <xdr:colOff>12700</xdr:colOff>
      <xdr:row>2</xdr:row>
      <xdr:rowOff>241300</xdr:rowOff>
    </xdr:to>
    <xdr:pic>
      <xdr:nvPicPr>
        <xdr:cNvPr id="7" name="cmdCommName">
          <a:extLst>
            <a:ext uri="{FF2B5EF4-FFF2-40B4-BE49-F238E27FC236}">
              <a16:creationId xmlns:a16="http://schemas.microsoft.com/office/drawing/2014/main" id="{6EFE8027-C905-7D11-B70F-8AF3C23F37DD}"/>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673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2</xdr:row>
      <xdr:rowOff>0</xdr:rowOff>
    </xdr:from>
    <xdr:to>
      <xdr:col>7</xdr:col>
      <xdr:colOff>12700</xdr:colOff>
      <xdr:row>2</xdr:row>
      <xdr:rowOff>241300</xdr:rowOff>
    </xdr:to>
    <xdr:pic>
      <xdr:nvPicPr>
        <xdr:cNvPr id="8" name="cmdTimeSlice">
          <a:extLst>
            <a:ext uri="{FF2B5EF4-FFF2-40B4-BE49-F238E27FC236}">
              <a16:creationId xmlns:a16="http://schemas.microsoft.com/office/drawing/2014/main" id="{91C0CBDA-2139-F34A-49AA-96792FD04AA1}"/>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94400" y="2794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5</xdr:row>
      <xdr:rowOff>25400</xdr:rowOff>
    </xdr:from>
    <xdr:to>
      <xdr:col>0</xdr:col>
      <xdr:colOff>825500</xdr:colOff>
      <xdr:row>6</xdr:row>
      <xdr:rowOff>38100</xdr:rowOff>
    </xdr:to>
    <xdr:pic>
      <xdr:nvPicPr>
        <xdr:cNvPr id="9" name="cmdAddParamQualifier2">
          <a:extLst>
            <a:ext uri="{FF2B5EF4-FFF2-40B4-BE49-F238E27FC236}">
              <a16:creationId xmlns:a16="http://schemas.microsoft.com/office/drawing/2014/main" id="{4BB3B63D-AAC3-00FF-5033-0095F05F52A6}"/>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033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0</xdr:rowOff>
    </xdr:to>
    <xdr:sp macro="" textlink="">
      <xdr:nvSpPr>
        <xdr:cNvPr id="55297" name="cmdCheckItemsSheet" hidden="1">
          <a:extLst>
            <a:ext uri="{63B3BB69-23CF-44E3-9099-C40C66FF867C}">
              <a14:compatExt xmlns:a14="http://schemas.microsoft.com/office/drawing/2010/main" spid="_x0000_s55297"/>
            </a:ext>
            <a:ext uri="{FF2B5EF4-FFF2-40B4-BE49-F238E27FC236}">
              <a16:creationId xmlns:a16="http://schemas.microsoft.com/office/drawing/2014/main" id="{00000000-0008-0000-3400-000001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152400</xdr:colOff>
      <xdr:row>4</xdr:row>
      <xdr:rowOff>101600</xdr:rowOff>
    </xdr:to>
    <xdr:sp macro="" textlink="">
      <xdr:nvSpPr>
        <xdr:cNvPr id="55298" name="cmdSpecifyComponent" hidden="1">
          <a:extLst>
            <a:ext uri="{63B3BB69-23CF-44E3-9099-C40C66FF867C}">
              <a14:compatExt xmlns:a14="http://schemas.microsoft.com/office/drawing/2010/main" spid="_x0000_s55298"/>
            </a:ext>
            <a:ext uri="{FF2B5EF4-FFF2-40B4-BE49-F238E27FC236}">
              <a16:creationId xmlns:a16="http://schemas.microsoft.com/office/drawing/2014/main" id="{00000000-0008-0000-3400-000002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0</xdr:colOff>
      <xdr:row>4</xdr:row>
      <xdr:rowOff>101600</xdr:rowOff>
    </xdr:to>
    <xdr:sp macro="" textlink="">
      <xdr:nvSpPr>
        <xdr:cNvPr id="55299" name="cmdSpecifyUnits" hidden="1">
          <a:extLst>
            <a:ext uri="{63B3BB69-23CF-44E3-9099-C40C66FF867C}">
              <a14:compatExt xmlns:a14="http://schemas.microsoft.com/office/drawing/2010/main" spid="_x0000_s55299"/>
            </a:ext>
            <a:ext uri="{FF2B5EF4-FFF2-40B4-BE49-F238E27FC236}">
              <a16:creationId xmlns:a16="http://schemas.microsoft.com/office/drawing/2014/main" id="{00000000-0008-0000-3400-000003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0</xdr:colOff>
      <xdr:row>4</xdr:row>
      <xdr:rowOff>101600</xdr:rowOff>
    </xdr:to>
    <xdr:sp macro="" textlink="">
      <xdr:nvSpPr>
        <xdr:cNvPr id="55300" name="cmdSpecifySets" hidden="1">
          <a:extLst>
            <a:ext uri="{63B3BB69-23CF-44E3-9099-C40C66FF867C}">
              <a14:compatExt xmlns:a14="http://schemas.microsoft.com/office/drawing/2010/main" spid="_x0000_s55300"/>
            </a:ext>
            <a:ext uri="{FF2B5EF4-FFF2-40B4-BE49-F238E27FC236}">
              <a16:creationId xmlns:a16="http://schemas.microsoft.com/office/drawing/2014/main" id="{00000000-0008-0000-3400-000004D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0</xdr:rowOff>
    </xdr:to>
    <xdr:pic>
      <xdr:nvPicPr>
        <xdr:cNvPr id="2" name="cmdCheckItemsSheet">
          <a:extLst>
            <a:ext uri="{FF2B5EF4-FFF2-40B4-BE49-F238E27FC236}">
              <a16:creationId xmlns:a16="http://schemas.microsoft.com/office/drawing/2014/main" id="{AE2D71C9-6678-C63D-CFB6-FF0E6B2E081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152400</xdr:colOff>
      <xdr:row>4</xdr:row>
      <xdr:rowOff>101600</xdr:rowOff>
    </xdr:to>
    <xdr:pic>
      <xdr:nvPicPr>
        <xdr:cNvPr id="3" name="cmdSpecifyComponent">
          <a:extLst>
            <a:ext uri="{FF2B5EF4-FFF2-40B4-BE49-F238E27FC236}">
              <a16:creationId xmlns:a16="http://schemas.microsoft.com/office/drawing/2014/main" id="{7A5DEF8C-75AB-5510-DC78-90C5A43AE847}"/>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508000"/>
          <a:ext cx="838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101600</xdr:rowOff>
    </xdr:to>
    <xdr:pic>
      <xdr:nvPicPr>
        <xdr:cNvPr id="4" name="cmdSpecifyUnits">
          <a:extLst>
            <a:ext uri="{FF2B5EF4-FFF2-40B4-BE49-F238E27FC236}">
              <a16:creationId xmlns:a16="http://schemas.microsoft.com/office/drawing/2014/main" id="{F88626E7-5007-379C-B3C0-A2A72266F02E}"/>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10100" y="508000"/>
          <a:ext cx="762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0</xdr:colOff>
      <xdr:row>4</xdr:row>
      <xdr:rowOff>101600</xdr:rowOff>
    </xdr:to>
    <xdr:pic>
      <xdr:nvPicPr>
        <xdr:cNvPr id="5" name="cmdSpecifySets">
          <a:extLst>
            <a:ext uri="{FF2B5EF4-FFF2-40B4-BE49-F238E27FC236}">
              <a16:creationId xmlns:a16="http://schemas.microsoft.com/office/drawing/2014/main" id="{13C1E444-B215-5C97-5182-154E33247B0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84800" y="508000"/>
          <a:ext cx="21717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25400</xdr:rowOff>
    </xdr:to>
    <xdr:sp macro="" textlink="">
      <xdr:nvSpPr>
        <xdr:cNvPr id="57345" name="cmdCheckTSDataSheet" hidden="1">
          <a:extLst>
            <a:ext uri="{63B3BB69-23CF-44E3-9099-C40C66FF867C}">
              <a14:compatExt xmlns:a14="http://schemas.microsoft.com/office/drawing/2010/main" spid="_x0000_s57345"/>
            </a:ext>
            <a:ext uri="{FF2B5EF4-FFF2-40B4-BE49-F238E27FC236}">
              <a16:creationId xmlns:a16="http://schemas.microsoft.com/office/drawing/2014/main" id="{00000000-0008-0000-3500-000001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12700</xdr:colOff>
      <xdr:row>3</xdr:row>
      <xdr:rowOff>0</xdr:rowOff>
    </xdr:from>
    <xdr:to>
      <xdr:col>2</xdr:col>
      <xdr:colOff>25400</xdr:colOff>
      <xdr:row>4</xdr:row>
      <xdr:rowOff>101600</xdr:rowOff>
    </xdr:to>
    <xdr:sp macro="" textlink="">
      <xdr:nvSpPr>
        <xdr:cNvPr id="57346" name="cmdSpecifyParameter" hidden="1">
          <a:extLst>
            <a:ext uri="{63B3BB69-23CF-44E3-9099-C40C66FF867C}">
              <a14:compatExt xmlns:a14="http://schemas.microsoft.com/office/drawing/2010/main" spid="_x0000_s57346"/>
            </a:ext>
            <a:ext uri="{FF2B5EF4-FFF2-40B4-BE49-F238E27FC236}">
              <a16:creationId xmlns:a16="http://schemas.microsoft.com/office/drawing/2014/main" id="{00000000-0008-0000-3500-000002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0</xdr:rowOff>
    </xdr:from>
    <xdr:to>
      <xdr:col>3</xdr:col>
      <xdr:colOff>25400</xdr:colOff>
      <xdr:row>4</xdr:row>
      <xdr:rowOff>101600</xdr:rowOff>
    </xdr:to>
    <xdr:sp macro="" textlink="">
      <xdr:nvSpPr>
        <xdr:cNvPr id="57347" name="cmdSpecifyArg1" hidden="1">
          <a:extLst>
            <a:ext uri="{63B3BB69-23CF-44E3-9099-C40C66FF867C}">
              <a14:compatExt xmlns:a14="http://schemas.microsoft.com/office/drawing/2010/main" spid="_x0000_s57347"/>
            </a:ext>
            <a:ext uri="{FF2B5EF4-FFF2-40B4-BE49-F238E27FC236}">
              <a16:creationId xmlns:a16="http://schemas.microsoft.com/office/drawing/2014/main" id="{00000000-0008-0000-3500-000003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0</xdr:rowOff>
    </xdr:from>
    <xdr:to>
      <xdr:col>4</xdr:col>
      <xdr:colOff>25400</xdr:colOff>
      <xdr:row>4</xdr:row>
      <xdr:rowOff>101600</xdr:rowOff>
    </xdr:to>
    <xdr:sp macro="" textlink="">
      <xdr:nvSpPr>
        <xdr:cNvPr id="57348" name="cmdSpecifyArg2" hidden="1">
          <a:extLst>
            <a:ext uri="{63B3BB69-23CF-44E3-9099-C40C66FF867C}">
              <a14:compatExt xmlns:a14="http://schemas.microsoft.com/office/drawing/2010/main" spid="_x0000_s57348"/>
            </a:ext>
            <a:ext uri="{FF2B5EF4-FFF2-40B4-BE49-F238E27FC236}">
              <a16:creationId xmlns:a16="http://schemas.microsoft.com/office/drawing/2014/main" id="{00000000-0008-0000-3500-000004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25400</xdr:colOff>
      <xdr:row>4</xdr:row>
      <xdr:rowOff>101600</xdr:rowOff>
    </xdr:to>
    <xdr:sp macro="" textlink="">
      <xdr:nvSpPr>
        <xdr:cNvPr id="57349" name="cmdSpecifyArg3" hidden="1">
          <a:extLst>
            <a:ext uri="{63B3BB69-23CF-44E3-9099-C40C66FF867C}">
              <a14:compatExt xmlns:a14="http://schemas.microsoft.com/office/drawing/2010/main" spid="_x0000_s57349"/>
            </a:ext>
            <a:ext uri="{FF2B5EF4-FFF2-40B4-BE49-F238E27FC236}">
              <a16:creationId xmlns:a16="http://schemas.microsoft.com/office/drawing/2014/main" id="{00000000-0008-0000-3500-000005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57350" name="cmdSpecifyArg4" hidden="1">
          <a:extLst>
            <a:ext uri="{63B3BB69-23CF-44E3-9099-C40C66FF867C}">
              <a14:compatExt xmlns:a14="http://schemas.microsoft.com/office/drawing/2010/main" spid="_x0000_s57350"/>
            </a:ext>
            <a:ext uri="{FF2B5EF4-FFF2-40B4-BE49-F238E27FC236}">
              <a16:creationId xmlns:a16="http://schemas.microsoft.com/office/drawing/2014/main" id="{00000000-0008-0000-3500-000006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57351" name="cmdSpecifyArg5" hidden="1">
          <a:extLst>
            <a:ext uri="{63B3BB69-23CF-44E3-9099-C40C66FF867C}">
              <a14:compatExt xmlns:a14="http://schemas.microsoft.com/office/drawing/2010/main" spid="_x0000_s57351"/>
            </a:ext>
            <a:ext uri="{FF2B5EF4-FFF2-40B4-BE49-F238E27FC236}">
              <a16:creationId xmlns:a16="http://schemas.microsoft.com/office/drawing/2014/main" id="{00000000-0008-0000-3500-000007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57352" name="cmdSpecifyArg6" hidden="1">
          <a:extLst>
            <a:ext uri="{63B3BB69-23CF-44E3-9099-C40C66FF867C}">
              <a14:compatExt xmlns:a14="http://schemas.microsoft.com/office/drawing/2010/main" spid="_x0000_s57352"/>
            </a:ext>
            <a:ext uri="{FF2B5EF4-FFF2-40B4-BE49-F238E27FC236}">
              <a16:creationId xmlns:a16="http://schemas.microsoft.com/office/drawing/2014/main" id="{00000000-0008-0000-3500-000008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0</xdr:rowOff>
    </xdr:from>
    <xdr:to>
      <xdr:col>9</xdr:col>
      <xdr:colOff>25400</xdr:colOff>
      <xdr:row>4</xdr:row>
      <xdr:rowOff>88900</xdr:rowOff>
    </xdr:to>
    <xdr:sp macro="" textlink="">
      <xdr:nvSpPr>
        <xdr:cNvPr id="57353" name="cmdSpecifyIEOptcode" hidden="1">
          <a:extLst>
            <a:ext uri="{63B3BB69-23CF-44E3-9099-C40C66FF867C}">
              <a14:compatExt xmlns:a14="http://schemas.microsoft.com/office/drawing/2010/main" spid="_x0000_s57353"/>
            </a:ext>
            <a:ext uri="{FF2B5EF4-FFF2-40B4-BE49-F238E27FC236}">
              <a16:creationId xmlns:a16="http://schemas.microsoft.com/office/drawing/2014/main" id="{00000000-0008-0000-3500-000009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3</xdr:row>
      <xdr:rowOff>63500</xdr:rowOff>
    </xdr:from>
    <xdr:to>
      <xdr:col>0</xdr:col>
      <xdr:colOff>825500</xdr:colOff>
      <xdr:row>6</xdr:row>
      <xdr:rowOff>0</xdr:rowOff>
    </xdr:to>
    <xdr:sp macro="" textlink="">
      <xdr:nvSpPr>
        <xdr:cNvPr id="57354" name="cmdPopulateDataYears" hidden="1">
          <a:extLst>
            <a:ext uri="{63B3BB69-23CF-44E3-9099-C40C66FF867C}">
              <a14:compatExt xmlns:a14="http://schemas.microsoft.com/office/drawing/2010/main" spid="_x0000_s57354"/>
            </a:ext>
            <a:ext uri="{FF2B5EF4-FFF2-40B4-BE49-F238E27FC236}">
              <a16:creationId xmlns:a16="http://schemas.microsoft.com/office/drawing/2014/main" id="{00000000-0008-0000-3500-00000AE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25400</xdr:rowOff>
    </xdr:to>
    <xdr:pic>
      <xdr:nvPicPr>
        <xdr:cNvPr id="2" name="cmdCheckTSDataSheet">
          <a:extLst>
            <a:ext uri="{FF2B5EF4-FFF2-40B4-BE49-F238E27FC236}">
              <a16:creationId xmlns:a16="http://schemas.microsoft.com/office/drawing/2014/main" id="{487FA9B5-5786-285B-802D-97B98559A764}"/>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62FB694-AF58-6F5A-A628-CBC77A393099}"/>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17600" y="4953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0</xdr:rowOff>
    </xdr:from>
    <xdr:to>
      <xdr:col>3</xdr:col>
      <xdr:colOff>25400</xdr:colOff>
      <xdr:row>4</xdr:row>
      <xdr:rowOff>101600</xdr:rowOff>
    </xdr:to>
    <xdr:pic>
      <xdr:nvPicPr>
        <xdr:cNvPr id="4" name="cmdSpecifyArg1">
          <a:extLst>
            <a:ext uri="{FF2B5EF4-FFF2-40B4-BE49-F238E27FC236}">
              <a16:creationId xmlns:a16="http://schemas.microsoft.com/office/drawing/2014/main" id="{F0EFC16E-881E-C9AB-5E31-46106ACDA86C}"/>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0</xdr:rowOff>
    </xdr:from>
    <xdr:to>
      <xdr:col>4</xdr:col>
      <xdr:colOff>25400</xdr:colOff>
      <xdr:row>4</xdr:row>
      <xdr:rowOff>101600</xdr:rowOff>
    </xdr:to>
    <xdr:pic>
      <xdr:nvPicPr>
        <xdr:cNvPr id="5" name="cmdSpecifyArg2">
          <a:extLst>
            <a:ext uri="{FF2B5EF4-FFF2-40B4-BE49-F238E27FC236}">
              <a16:creationId xmlns:a16="http://schemas.microsoft.com/office/drawing/2014/main" id="{54B01EEC-01A4-2E31-EE87-48ECB352AF5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25400</xdr:colOff>
      <xdr:row>4</xdr:row>
      <xdr:rowOff>101600</xdr:rowOff>
    </xdr:to>
    <xdr:pic>
      <xdr:nvPicPr>
        <xdr:cNvPr id="6" name="cmdSpecifyArg3">
          <a:extLst>
            <a:ext uri="{FF2B5EF4-FFF2-40B4-BE49-F238E27FC236}">
              <a16:creationId xmlns:a16="http://schemas.microsoft.com/office/drawing/2014/main" id="{087799AA-EAB5-0AFE-23C9-87DF5A653E27}"/>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41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7" name="cmdSpecifyArg4">
          <a:extLst>
            <a:ext uri="{FF2B5EF4-FFF2-40B4-BE49-F238E27FC236}">
              <a16:creationId xmlns:a16="http://schemas.microsoft.com/office/drawing/2014/main" id="{4F0C5017-DC1E-08FA-1F79-873365EDF054}"/>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40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8" name="cmdSpecifyArg5">
          <a:extLst>
            <a:ext uri="{FF2B5EF4-FFF2-40B4-BE49-F238E27FC236}">
              <a16:creationId xmlns:a16="http://schemas.microsoft.com/office/drawing/2014/main" id="{5F33CFB0-7ABB-05BA-21CB-59D3FCCDD75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387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9" name="cmdSpecifyArg6">
          <a:extLst>
            <a:ext uri="{FF2B5EF4-FFF2-40B4-BE49-F238E27FC236}">
              <a16:creationId xmlns:a16="http://schemas.microsoft.com/office/drawing/2014/main" id="{6045C568-1000-E042-051E-7DB69E91D4E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37200" y="4953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0</xdr:rowOff>
    </xdr:from>
    <xdr:to>
      <xdr:col>9</xdr:col>
      <xdr:colOff>25400</xdr:colOff>
      <xdr:row>4</xdr:row>
      <xdr:rowOff>88900</xdr:rowOff>
    </xdr:to>
    <xdr:pic>
      <xdr:nvPicPr>
        <xdr:cNvPr id="10" name="cmdSpecifyIEOptcode">
          <a:extLst>
            <a:ext uri="{FF2B5EF4-FFF2-40B4-BE49-F238E27FC236}">
              <a16:creationId xmlns:a16="http://schemas.microsoft.com/office/drawing/2014/main" id="{D3A62C1D-08B0-1A83-BD36-AC740A1591EC}"/>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35700" y="4953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0</xdr:colOff>
      <xdr:row>3</xdr:row>
      <xdr:rowOff>63500</xdr:rowOff>
    </xdr:from>
    <xdr:to>
      <xdr:col>0</xdr:col>
      <xdr:colOff>825500</xdr:colOff>
      <xdr:row>6</xdr:row>
      <xdr:rowOff>0</xdr:rowOff>
    </xdr:to>
    <xdr:pic>
      <xdr:nvPicPr>
        <xdr:cNvPr id="11" name="cmdPopulateDataYears">
          <a:extLst>
            <a:ext uri="{FF2B5EF4-FFF2-40B4-BE49-F238E27FC236}">
              <a16:creationId xmlns:a16="http://schemas.microsoft.com/office/drawing/2014/main" id="{086ACBBB-2E44-A44D-C584-2FD5028F113D}"/>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5588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825500</xdr:colOff>
      <xdr:row>3</xdr:row>
      <xdr:rowOff>38100</xdr:rowOff>
    </xdr:to>
    <xdr:sp macro="" textlink="">
      <xdr:nvSpPr>
        <xdr:cNvPr id="58369" name="cmdCheckTIDDataSheet" hidden="1">
          <a:extLst>
            <a:ext uri="{63B3BB69-23CF-44E3-9099-C40C66FF867C}">
              <a14:compatExt xmlns:a14="http://schemas.microsoft.com/office/drawing/2010/main" spid="_x0000_s58369"/>
            </a:ext>
            <a:ext uri="{FF2B5EF4-FFF2-40B4-BE49-F238E27FC236}">
              <a16:creationId xmlns:a16="http://schemas.microsoft.com/office/drawing/2014/main" id="{00000000-0008-0000-3600-000001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12700</xdr:rowOff>
    </xdr:from>
    <xdr:to>
      <xdr:col>2</xdr:col>
      <xdr:colOff>25400</xdr:colOff>
      <xdr:row>4</xdr:row>
      <xdr:rowOff>101600</xdr:rowOff>
    </xdr:to>
    <xdr:sp macro="" textlink="">
      <xdr:nvSpPr>
        <xdr:cNvPr id="58370" name="cmdSpecifyParameter" hidden="1">
          <a:extLst>
            <a:ext uri="{63B3BB69-23CF-44E3-9099-C40C66FF867C}">
              <a14:compatExt xmlns:a14="http://schemas.microsoft.com/office/drawing/2010/main" spid="_x0000_s58370"/>
            </a:ext>
            <a:ext uri="{FF2B5EF4-FFF2-40B4-BE49-F238E27FC236}">
              <a16:creationId xmlns:a16="http://schemas.microsoft.com/office/drawing/2014/main" id="{00000000-0008-0000-3600-000002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12700</xdr:colOff>
      <xdr:row>4</xdr:row>
      <xdr:rowOff>101600</xdr:rowOff>
    </xdr:to>
    <xdr:sp macro="" textlink="">
      <xdr:nvSpPr>
        <xdr:cNvPr id="58371" name="cmdSpecifyArg1" hidden="1">
          <a:extLst>
            <a:ext uri="{63B3BB69-23CF-44E3-9099-C40C66FF867C}">
              <a14:compatExt xmlns:a14="http://schemas.microsoft.com/office/drawing/2010/main" spid="_x0000_s58371"/>
            </a:ext>
            <a:ext uri="{FF2B5EF4-FFF2-40B4-BE49-F238E27FC236}">
              <a16:creationId xmlns:a16="http://schemas.microsoft.com/office/drawing/2014/main" id="{00000000-0008-0000-3600-000003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12700</xdr:rowOff>
    </xdr:from>
    <xdr:to>
      <xdr:col>4</xdr:col>
      <xdr:colOff>12700</xdr:colOff>
      <xdr:row>4</xdr:row>
      <xdr:rowOff>101600</xdr:rowOff>
    </xdr:to>
    <xdr:sp macro="" textlink="">
      <xdr:nvSpPr>
        <xdr:cNvPr id="58372" name="cmdSpecifyArg2" hidden="1">
          <a:extLst>
            <a:ext uri="{63B3BB69-23CF-44E3-9099-C40C66FF867C}">
              <a14:compatExt xmlns:a14="http://schemas.microsoft.com/office/drawing/2010/main" spid="_x0000_s58372"/>
            </a:ext>
            <a:ext uri="{FF2B5EF4-FFF2-40B4-BE49-F238E27FC236}">
              <a16:creationId xmlns:a16="http://schemas.microsoft.com/office/drawing/2014/main" id="{00000000-0008-0000-3600-000004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12700</xdr:rowOff>
    </xdr:from>
    <xdr:to>
      <xdr:col>5</xdr:col>
      <xdr:colOff>12700</xdr:colOff>
      <xdr:row>4</xdr:row>
      <xdr:rowOff>101600</xdr:rowOff>
    </xdr:to>
    <xdr:sp macro="" textlink="">
      <xdr:nvSpPr>
        <xdr:cNvPr id="58373" name="cmdSpecifyArg3" hidden="1">
          <a:extLst>
            <a:ext uri="{63B3BB69-23CF-44E3-9099-C40C66FF867C}">
              <a14:compatExt xmlns:a14="http://schemas.microsoft.com/office/drawing/2010/main" spid="_x0000_s58373"/>
            </a:ext>
            <a:ext uri="{FF2B5EF4-FFF2-40B4-BE49-F238E27FC236}">
              <a16:creationId xmlns:a16="http://schemas.microsoft.com/office/drawing/2014/main" id="{00000000-0008-0000-3600-000005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12700</xdr:rowOff>
    </xdr:from>
    <xdr:to>
      <xdr:col>6</xdr:col>
      <xdr:colOff>12700</xdr:colOff>
      <xdr:row>4</xdr:row>
      <xdr:rowOff>101600</xdr:rowOff>
    </xdr:to>
    <xdr:sp macro="" textlink="">
      <xdr:nvSpPr>
        <xdr:cNvPr id="58374" name="cmdSpecifyArg4" hidden="1">
          <a:extLst>
            <a:ext uri="{63B3BB69-23CF-44E3-9099-C40C66FF867C}">
              <a14:compatExt xmlns:a14="http://schemas.microsoft.com/office/drawing/2010/main" spid="_x0000_s58374"/>
            </a:ext>
            <a:ext uri="{FF2B5EF4-FFF2-40B4-BE49-F238E27FC236}">
              <a16:creationId xmlns:a16="http://schemas.microsoft.com/office/drawing/2014/main" id="{00000000-0008-0000-3600-000006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12700</xdr:rowOff>
    </xdr:from>
    <xdr:to>
      <xdr:col>7</xdr:col>
      <xdr:colOff>12700</xdr:colOff>
      <xdr:row>4</xdr:row>
      <xdr:rowOff>101600</xdr:rowOff>
    </xdr:to>
    <xdr:sp macro="" textlink="">
      <xdr:nvSpPr>
        <xdr:cNvPr id="58375" name="cmdSpecifyArg5" hidden="1">
          <a:extLst>
            <a:ext uri="{63B3BB69-23CF-44E3-9099-C40C66FF867C}">
              <a14:compatExt xmlns:a14="http://schemas.microsoft.com/office/drawing/2010/main" spid="_x0000_s58375"/>
            </a:ext>
            <a:ext uri="{FF2B5EF4-FFF2-40B4-BE49-F238E27FC236}">
              <a16:creationId xmlns:a16="http://schemas.microsoft.com/office/drawing/2014/main" id="{00000000-0008-0000-3600-000007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12700</xdr:rowOff>
    </xdr:from>
    <xdr:to>
      <xdr:col>8</xdr:col>
      <xdr:colOff>12700</xdr:colOff>
      <xdr:row>4</xdr:row>
      <xdr:rowOff>101600</xdr:rowOff>
    </xdr:to>
    <xdr:sp macro="" textlink="">
      <xdr:nvSpPr>
        <xdr:cNvPr id="58376" name="cmdSpecifyArg6" hidden="1">
          <a:extLst>
            <a:ext uri="{63B3BB69-23CF-44E3-9099-C40C66FF867C}">
              <a14:compatExt xmlns:a14="http://schemas.microsoft.com/office/drawing/2010/main" spid="_x0000_s58376"/>
            </a:ext>
            <a:ext uri="{FF2B5EF4-FFF2-40B4-BE49-F238E27FC236}">
              <a16:creationId xmlns:a16="http://schemas.microsoft.com/office/drawing/2014/main" id="{00000000-0008-0000-3600-000008E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0</xdr:colOff>
      <xdr:row>2</xdr:row>
      <xdr:rowOff>0</xdr:rowOff>
    </xdr:from>
    <xdr:to>
      <xdr:col>0</xdr:col>
      <xdr:colOff>825500</xdr:colOff>
      <xdr:row>3</xdr:row>
      <xdr:rowOff>38100</xdr:rowOff>
    </xdr:to>
    <xdr:pic>
      <xdr:nvPicPr>
        <xdr:cNvPr id="2" name="cmdCheckTIDDataSheet">
          <a:extLst>
            <a:ext uri="{FF2B5EF4-FFF2-40B4-BE49-F238E27FC236}">
              <a16:creationId xmlns:a16="http://schemas.microsoft.com/office/drawing/2014/main" id="{2B4CFFF4-101A-B006-6FA9-2E6D18A056C9}"/>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794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12700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4AC58BF-AA0B-A931-3EED-2B5EE45A95AC}"/>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81100" y="4826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12700</xdr:colOff>
      <xdr:row>4</xdr:row>
      <xdr:rowOff>101600</xdr:rowOff>
    </xdr:to>
    <xdr:pic>
      <xdr:nvPicPr>
        <xdr:cNvPr id="4" name="cmdSpecifyArg1">
          <a:extLst>
            <a:ext uri="{FF2B5EF4-FFF2-40B4-BE49-F238E27FC236}">
              <a16:creationId xmlns:a16="http://schemas.microsoft.com/office/drawing/2014/main" id="{9C6C4A2B-9AC0-2E3A-23C0-0577FA8D503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12700</xdr:rowOff>
    </xdr:from>
    <xdr:to>
      <xdr:col>4</xdr:col>
      <xdr:colOff>12700</xdr:colOff>
      <xdr:row>4</xdr:row>
      <xdr:rowOff>101600</xdr:rowOff>
    </xdr:to>
    <xdr:pic>
      <xdr:nvPicPr>
        <xdr:cNvPr id="5" name="cmdSpecifyArg2">
          <a:extLst>
            <a:ext uri="{FF2B5EF4-FFF2-40B4-BE49-F238E27FC236}">
              <a16:creationId xmlns:a16="http://schemas.microsoft.com/office/drawing/2014/main" id="{772971FC-CA77-C501-76E0-63350B3B313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94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12700</xdr:rowOff>
    </xdr:from>
    <xdr:to>
      <xdr:col>5</xdr:col>
      <xdr:colOff>12700</xdr:colOff>
      <xdr:row>4</xdr:row>
      <xdr:rowOff>101600</xdr:rowOff>
    </xdr:to>
    <xdr:pic>
      <xdr:nvPicPr>
        <xdr:cNvPr id="6" name="cmdSpecifyArg3">
          <a:extLst>
            <a:ext uri="{FF2B5EF4-FFF2-40B4-BE49-F238E27FC236}">
              <a16:creationId xmlns:a16="http://schemas.microsoft.com/office/drawing/2014/main" id="{D70A3BD1-8472-2268-2F03-D435A9F04095}"/>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92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12700</xdr:rowOff>
    </xdr:from>
    <xdr:to>
      <xdr:col>6</xdr:col>
      <xdr:colOff>12700</xdr:colOff>
      <xdr:row>4</xdr:row>
      <xdr:rowOff>101600</xdr:rowOff>
    </xdr:to>
    <xdr:pic>
      <xdr:nvPicPr>
        <xdr:cNvPr id="7" name="cmdSpecifyArg4">
          <a:extLst>
            <a:ext uri="{FF2B5EF4-FFF2-40B4-BE49-F238E27FC236}">
              <a16:creationId xmlns:a16="http://schemas.microsoft.com/office/drawing/2014/main" id="{D3F4171A-B082-9A29-F0E3-21A0AB23A662}"/>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91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12700</xdr:rowOff>
    </xdr:from>
    <xdr:to>
      <xdr:col>7</xdr:col>
      <xdr:colOff>12700</xdr:colOff>
      <xdr:row>4</xdr:row>
      <xdr:rowOff>101600</xdr:rowOff>
    </xdr:to>
    <xdr:pic>
      <xdr:nvPicPr>
        <xdr:cNvPr id="8" name="cmdSpecifyArg5">
          <a:extLst>
            <a:ext uri="{FF2B5EF4-FFF2-40B4-BE49-F238E27FC236}">
              <a16:creationId xmlns:a16="http://schemas.microsoft.com/office/drawing/2014/main" id="{E6EDA259-FCA3-6673-DCDB-7619EFEFF8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89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12700</xdr:rowOff>
    </xdr:from>
    <xdr:to>
      <xdr:col>8</xdr:col>
      <xdr:colOff>12700</xdr:colOff>
      <xdr:row>4</xdr:row>
      <xdr:rowOff>101600</xdr:rowOff>
    </xdr:to>
    <xdr:pic>
      <xdr:nvPicPr>
        <xdr:cNvPr id="9" name="cmdSpecifyArg6">
          <a:extLst>
            <a:ext uri="{FF2B5EF4-FFF2-40B4-BE49-F238E27FC236}">
              <a16:creationId xmlns:a16="http://schemas.microsoft.com/office/drawing/2014/main" id="{630C2881-2FE9-850C-43EA-5796CC069597}"/>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880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38100</xdr:colOff>
      <xdr:row>2</xdr:row>
      <xdr:rowOff>12700</xdr:rowOff>
    </xdr:from>
    <xdr:to>
      <xdr:col>0</xdr:col>
      <xdr:colOff>863600</xdr:colOff>
      <xdr:row>3</xdr:row>
      <xdr:rowOff>63500</xdr:rowOff>
    </xdr:to>
    <xdr:sp macro="" textlink="">
      <xdr:nvSpPr>
        <xdr:cNvPr id="59393" name="cmdCheckTSandTIDDataSheet" hidden="1">
          <a:extLst>
            <a:ext uri="{63B3BB69-23CF-44E3-9099-C40C66FF867C}">
              <a14:compatExt xmlns:a14="http://schemas.microsoft.com/office/drawing/2010/main" spid="_x0000_s59393"/>
            </a:ext>
            <a:ext uri="{FF2B5EF4-FFF2-40B4-BE49-F238E27FC236}">
              <a16:creationId xmlns:a16="http://schemas.microsoft.com/office/drawing/2014/main" id="{00000000-0008-0000-3700-000001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1</xdr:col>
      <xdr:colOff>0</xdr:colOff>
      <xdr:row>3</xdr:row>
      <xdr:rowOff>0</xdr:rowOff>
    </xdr:from>
    <xdr:to>
      <xdr:col>2</xdr:col>
      <xdr:colOff>25400</xdr:colOff>
      <xdr:row>4</xdr:row>
      <xdr:rowOff>101600</xdr:rowOff>
    </xdr:to>
    <xdr:sp macro="" textlink="">
      <xdr:nvSpPr>
        <xdr:cNvPr id="59394" name="cmdSpecifyParameter" hidden="1">
          <a:extLst>
            <a:ext uri="{63B3BB69-23CF-44E3-9099-C40C66FF867C}">
              <a14:compatExt xmlns:a14="http://schemas.microsoft.com/office/drawing/2010/main" spid="_x0000_s59394"/>
            </a:ext>
            <a:ext uri="{FF2B5EF4-FFF2-40B4-BE49-F238E27FC236}">
              <a16:creationId xmlns:a16="http://schemas.microsoft.com/office/drawing/2014/main" id="{00000000-0008-0000-3700-000002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12700</xdr:colOff>
      <xdr:row>4</xdr:row>
      <xdr:rowOff>101600</xdr:rowOff>
    </xdr:to>
    <xdr:sp macro="" textlink="">
      <xdr:nvSpPr>
        <xdr:cNvPr id="59395" name="cmdSpecifyArg1" hidden="1">
          <a:extLst>
            <a:ext uri="{63B3BB69-23CF-44E3-9099-C40C66FF867C}">
              <a14:compatExt xmlns:a14="http://schemas.microsoft.com/office/drawing/2010/main" spid="_x0000_s59395"/>
            </a:ext>
            <a:ext uri="{FF2B5EF4-FFF2-40B4-BE49-F238E27FC236}">
              <a16:creationId xmlns:a16="http://schemas.microsoft.com/office/drawing/2014/main" id="{00000000-0008-0000-3700-000003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0</xdr:colOff>
      <xdr:row>3</xdr:row>
      <xdr:rowOff>0</xdr:rowOff>
    </xdr:from>
    <xdr:to>
      <xdr:col>4</xdr:col>
      <xdr:colOff>0</xdr:colOff>
      <xdr:row>4</xdr:row>
      <xdr:rowOff>101600</xdr:rowOff>
    </xdr:to>
    <xdr:sp macro="" textlink="">
      <xdr:nvSpPr>
        <xdr:cNvPr id="59396" name="cmdSpecifyArg2" hidden="1">
          <a:extLst>
            <a:ext uri="{63B3BB69-23CF-44E3-9099-C40C66FF867C}">
              <a14:compatExt xmlns:a14="http://schemas.microsoft.com/office/drawing/2010/main" spid="_x0000_s59396"/>
            </a:ext>
            <a:ext uri="{FF2B5EF4-FFF2-40B4-BE49-F238E27FC236}">
              <a16:creationId xmlns:a16="http://schemas.microsoft.com/office/drawing/2014/main" id="{00000000-0008-0000-3700-000004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0</xdr:colOff>
      <xdr:row>3</xdr:row>
      <xdr:rowOff>0</xdr:rowOff>
    </xdr:from>
    <xdr:to>
      <xdr:col>5</xdr:col>
      <xdr:colOff>12700</xdr:colOff>
      <xdr:row>4</xdr:row>
      <xdr:rowOff>101600</xdr:rowOff>
    </xdr:to>
    <xdr:sp macro="" textlink="">
      <xdr:nvSpPr>
        <xdr:cNvPr id="59397" name="cmdSpecifyArg3" hidden="1">
          <a:extLst>
            <a:ext uri="{63B3BB69-23CF-44E3-9099-C40C66FF867C}">
              <a14:compatExt xmlns:a14="http://schemas.microsoft.com/office/drawing/2010/main" spid="_x0000_s59397"/>
            </a:ext>
            <a:ext uri="{FF2B5EF4-FFF2-40B4-BE49-F238E27FC236}">
              <a16:creationId xmlns:a16="http://schemas.microsoft.com/office/drawing/2014/main" id="{00000000-0008-0000-3700-000005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0</xdr:colOff>
      <xdr:row>3</xdr:row>
      <xdr:rowOff>0</xdr:rowOff>
    </xdr:from>
    <xdr:to>
      <xdr:col>6</xdr:col>
      <xdr:colOff>12700</xdr:colOff>
      <xdr:row>4</xdr:row>
      <xdr:rowOff>101600</xdr:rowOff>
    </xdr:to>
    <xdr:sp macro="" textlink="">
      <xdr:nvSpPr>
        <xdr:cNvPr id="59398" name="cmdSpecifyArg4" hidden="1">
          <a:extLst>
            <a:ext uri="{63B3BB69-23CF-44E3-9099-C40C66FF867C}">
              <a14:compatExt xmlns:a14="http://schemas.microsoft.com/office/drawing/2010/main" spid="_x0000_s59398"/>
            </a:ext>
            <a:ext uri="{FF2B5EF4-FFF2-40B4-BE49-F238E27FC236}">
              <a16:creationId xmlns:a16="http://schemas.microsoft.com/office/drawing/2014/main" id="{00000000-0008-0000-3700-000006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0</xdr:colOff>
      <xdr:row>3</xdr:row>
      <xdr:rowOff>0</xdr:rowOff>
    </xdr:from>
    <xdr:to>
      <xdr:col>7</xdr:col>
      <xdr:colOff>12700</xdr:colOff>
      <xdr:row>4</xdr:row>
      <xdr:rowOff>101600</xdr:rowOff>
    </xdr:to>
    <xdr:sp macro="" textlink="">
      <xdr:nvSpPr>
        <xdr:cNvPr id="59399" name="cmdSpecifyArg5" hidden="1">
          <a:extLst>
            <a:ext uri="{63B3BB69-23CF-44E3-9099-C40C66FF867C}">
              <a14:compatExt xmlns:a14="http://schemas.microsoft.com/office/drawing/2010/main" spid="_x0000_s59399"/>
            </a:ext>
            <a:ext uri="{FF2B5EF4-FFF2-40B4-BE49-F238E27FC236}">
              <a16:creationId xmlns:a16="http://schemas.microsoft.com/office/drawing/2014/main" id="{00000000-0008-0000-3700-000007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0</xdr:colOff>
      <xdr:row>3</xdr:row>
      <xdr:rowOff>0</xdr:rowOff>
    </xdr:from>
    <xdr:to>
      <xdr:col>8</xdr:col>
      <xdr:colOff>12700</xdr:colOff>
      <xdr:row>4</xdr:row>
      <xdr:rowOff>101600</xdr:rowOff>
    </xdr:to>
    <xdr:sp macro="" textlink="">
      <xdr:nvSpPr>
        <xdr:cNvPr id="59400" name="cmdSpecifyArg6" hidden="1">
          <a:extLst>
            <a:ext uri="{63B3BB69-23CF-44E3-9099-C40C66FF867C}">
              <a14:compatExt xmlns:a14="http://schemas.microsoft.com/office/drawing/2010/main" spid="_x0000_s59400"/>
            </a:ext>
            <a:ext uri="{FF2B5EF4-FFF2-40B4-BE49-F238E27FC236}">
              <a16:creationId xmlns:a16="http://schemas.microsoft.com/office/drawing/2014/main" id="{00000000-0008-0000-3700-000008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8</xdr:col>
      <xdr:colOff>482600</xdr:colOff>
      <xdr:row>4</xdr:row>
      <xdr:rowOff>101600</xdr:rowOff>
    </xdr:to>
    <xdr:sp macro="" textlink="">
      <xdr:nvSpPr>
        <xdr:cNvPr id="59401" name="cmdSpecifyIEOptcode" hidden="1">
          <a:extLst>
            <a:ext uri="{63B3BB69-23CF-44E3-9099-C40C66FF867C}">
              <a14:compatExt xmlns:a14="http://schemas.microsoft.com/office/drawing/2010/main" spid="_x0000_s59401"/>
            </a:ext>
            <a:ext uri="{FF2B5EF4-FFF2-40B4-BE49-F238E27FC236}">
              <a16:creationId xmlns:a16="http://schemas.microsoft.com/office/drawing/2014/main" id="{00000000-0008-0000-3700-000009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4</xdr:row>
      <xdr:rowOff>25400</xdr:rowOff>
    </xdr:from>
    <xdr:to>
      <xdr:col>0</xdr:col>
      <xdr:colOff>850900</xdr:colOff>
      <xdr:row>6</xdr:row>
      <xdr:rowOff>101600</xdr:rowOff>
    </xdr:to>
    <xdr:sp macro="" textlink="">
      <xdr:nvSpPr>
        <xdr:cNvPr id="59402" name="cmdPopulateDataYears" hidden="1">
          <a:extLst>
            <a:ext uri="{63B3BB69-23CF-44E3-9099-C40C66FF867C}">
              <a14:compatExt xmlns:a14="http://schemas.microsoft.com/office/drawing/2010/main" spid="_x0000_s59402"/>
            </a:ext>
            <a:ext uri="{FF2B5EF4-FFF2-40B4-BE49-F238E27FC236}">
              <a16:creationId xmlns:a16="http://schemas.microsoft.com/office/drawing/2014/main" id="{00000000-0008-0000-3700-00000AE8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38100</xdr:colOff>
      <xdr:row>2</xdr:row>
      <xdr:rowOff>12700</xdr:rowOff>
    </xdr:from>
    <xdr:to>
      <xdr:col>0</xdr:col>
      <xdr:colOff>863600</xdr:colOff>
      <xdr:row>3</xdr:row>
      <xdr:rowOff>63500</xdr:rowOff>
    </xdr:to>
    <xdr:pic>
      <xdr:nvPicPr>
        <xdr:cNvPr id="2" name="cmdCheckTSandTIDDataSheet">
          <a:extLst>
            <a:ext uri="{FF2B5EF4-FFF2-40B4-BE49-F238E27FC236}">
              <a16:creationId xmlns:a16="http://schemas.microsoft.com/office/drawing/2014/main" id="{33239537-B66B-7E4A-1D7D-8C8A2B19F4FC}"/>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292100"/>
          <a:ext cx="825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0</xdr:colOff>
      <xdr:row>3</xdr:row>
      <xdr:rowOff>0</xdr:rowOff>
    </xdr:from>
    <xdr:to>
      <xdr:col>2</xdr:col>
      <xdr:colOff>25400</xdr:colOff>
      <xdr:row>4</xdr:row>
      <xdr:rowOff>101600</xdr:rowOff>
    </xdr:to>
    <xdr:pic>
      <xdr:nvPicPr>
        <xdr:cNvPr id="3" name="cmdSpecifyParameter">
          <a:extLst>
            <a:ext uri="{FF2B5EF4-FFF2-40B4-BE49-F238E27FC236}">
              <a16:creationId xmlns:a16="http://schemas.microsoft.com/office/drawing/2014/main" id="{38422FC0-A904-46E7-3054-6F2AD5B83828}"/>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 y="469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0</xdr:rowOff>
    </xdr:from>
    <xdr:to>
      <xdr:col>3</xdr:col>
      <xdr:colOff>12700</xdr:colOff>
      <xdr:row>4</xdr:row>
      <xdr:rowOff>101600</xdr:rowOff>
    </xdr:to>
    <xdr:pic>
      <xdr:nvPicPr>
        <xdr:cNvPr id="4" name="cmdSpecifyArg1">
          <a:extLst>
            <a:ext uri="{FF2B5EF4-FFF2-40B4-BE49-F238E27FC236}">
              <a16:creationId xmlns:a16="http://schemas.microsoft.com/office/drawing/2014/main" id="{AC920522-2489-E680-0E07-4E919DA085E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447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0</xdr:colOff>
      <xdr:row>3</xdr:row>
      <xdr:rowOff>0</xdr:rowOff>
    </xdr:from>
    <xdr:to>
      <xdr:col>4</xdr:col>
      <xdr:colOff>0</xdr:colOff>
      <xdr:row>4</xdr:row>
      <xdr:rowOff>101600</xdr:rowOff>
    </xdr:to>
    <xdr:pic>
      <xdr:nvPicPr>
        <xdr:cNvPr id="5" name="cmdSpecifyArg2">
          <a:extLst>
            <a:ext uri="{FF2B5EF4-FFF2-40B4-BE49-F238E27FC236}">
              <a16:creationId xmlns:a16="http://schemas.microsoft.com/office/drawing/2014/main" id="{FE2F6AD6-3D31-0458-BF3B-3E7AC7FBF9F1}"/>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432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0</xdr:colOff>
      <xdr:row>3</xdr:row>
      <xdr:rowOff>0</xdr:rowOff>
    </xdr:from>
    <xdr:to>
      <xdr:col>5</xdr:col>
      <xdr:colOff>12700</xdr:colOff>
      <xdr:row>4</xdr:row>
      <xdr:rowOff>101600</xdr:rowOff>
    </xdr:to>
    <xdr:pic>
      <xdr:nvPicPr>
        <xdr:cNvPr id="6" name="cmdSpecifyArg3">
          <a:extLst>
            <a:ext uri="{FF2B5EF4-FFF2-40B4-BE49-F238E27FC236}">
              <a16:creationId xmlns:a16="http://schemas.microsoft.com/office/drawing/2014/main" id="{45D78D2E-451F-1CAC-B9C1-3756EE9FB2A1}"/>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54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0</xdr:colOff>
      <xdr:row>3</xdr:row>
      <xdr:rowOff>0</xdr:rowOff>
    </xdr:from>
    <xdr:to>
      <xdr:col>6</xdr:col>
      <xdr:colOff>12700</xdr:colOff>
      <xdr:row>4</xdr:row>
      <xdr:rowOff>101600</xdr:rowOff>
    </xdr:to>
    <xdr:pic>
      <xdr:nvPicPr>
        <xdr:cNvPr id="7" name="cmdSpecifyArg4">
          <a:extLst>
            <a:ext uri="{FF2B5EF4-FFF2-40B4-BE49-F238E27FC236}">
              <a16:creationId xmlns:a16="http://schemas.microsoft.com/office/drawing/2014/main" id="{AB69B881-B75D-DD9A-C3EC-134038AAC89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152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0</xdr:colOff>
      <xdr:row>3</xdr:row>
      <xdr:rowOff>0</xdr:rowOff>
    </xdr:from>
    <xdr:to>
      <xdr:col>7</xdr:col>
      <xdr:colOff>12700</xdr:colOff>
      <xdr:row>4</xdr:row>
      <xdr:rowOff>101600</xdr:rowOff>
    </xdr:to>
    <xdr:pic>
      <xdr:nvPicPr>
        <xdr:cNvPr id="8" name="cmdSpecifyArg5">
          <a:extLst>
            <a:ext uri="{FF2B5EF4-FFF2-40B4-BE49-F238E27FC236}">
              <a16:creationId xmlns:a16="http://schemas.microsoft.com/office/drawing/2014/main" id="{521E05BB-FEF3-8E5A-5B79-E255CAC7E146}"/>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8514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0</xdr:colOff>
      <xdr:row>3</xdr:row>
      <xdr:rowOff>0</xdr:rowOff>
    </xdr:from>
    <xdr:to>
      <xdr:col>8</xdr:col>
      <xdr:colOff>12700</xdr:colOff>
      <xdr:row>4</xdr:row>
      <xdr:rowOff>101600</xdr:rowOff>
    </xdr:to>
    <xdr:pic>
      <xdr:nvPicPr>
        <xdr:cNvPr id="9" name="cmdSpecifyArg6">
          <a:extLst>
            <a:ext uri="{FF2B5EF4-FFF2-40B4-BE49-F238E27FC236}">
              <a16:creationId xmlns:a16="http://schemas.microsoft.com/office/drawing/2014/main" id="{1515F249-DA9A-6952-6A40-5D0EBBA32A49}"/>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49900" y="469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8</xdr:col>
      <xdr:colOff>482600</xdr:colOff>
      <xdr:row>4</xdr:row>
      <xdr:rowOff>101600</xdr:rowOff>
    </xdr:to>
    <xdr:pic>
      <xdr:nvPicPr>
        <xdr:cNvPr id="10" name="cmdSpecifyIEOptcode">
          <a:extLst>
            <a:ext uri="{FF2B5EF4-FFF2-40B4-BE49-F238E27FC236}">
              <a16:creationId xmlns:a16="http://schemas.microsoft.com/office/drawing/2014/main" id="{60DB0EE7-92A8-EE77-6E55-127B80C47AB1}"/>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273800" y="469900"/>
          <a:ext cx="457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4</xdr:row>
      <xdr:rowOff>25400</xdr:rowOff>
    </xdr:from>
    <xdr:to>
      <xdr:col>0</xdr:col>
      <xdr:colOff>850900</xdr:colOff>
      <xdr:row>6</xdr:row>
      <xdr:rowOff>101600</xdr:rowOff>
    </xdr:to>
    <xdr:pic>
      <xdr:nvPicPr>
        <xdr:cNvPr id="11" name="cmdPopulateDataYears">
          <a:extLst>
            <a:ext uri="{FF2B5EF4-FFF2-40B4-BE49-F238E27FC236}">
              <a16:creationId xmlns:a16="http://schemas.microsoft.com/office/drawing/2014/main" id="{C81CD6BB-7125-D9B8-12F8-2C5FCC3BD538}"/>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635000"/>
          <a:ext cx="8255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xdr:col>
      <xdr:colOff>25400</xdr:colOff>
      <xdr:row>4</xdr:row>
      <xdr:rowOff>101600</xdr:rowOff>
    </xdr:to>
    <xdr:sp macro="" textlink="">
      <xdr:nvSpPr>
        <xdr:cNvPr id="60418" name="cmdSpecifyParameter" hidden="1">
          <a:extLst>
            <a:ext uri="{63B3BB69-23CF-44E3-9099-C40C66FF867C}">
              <a14:compatExt xmlns:a14="http://schemas.microsoft.com/office/drawing/2010/main" spid="_x0000_s60418"/>
            </a:ext>
            <a:ext uri="{FF2B5EF4-FFF2-40B4-BE49-F238E27FC236}">
              <a16:creationId xmlns:a16="http://schemas.microsoft.com/office/drawing/2014/main" id="{00000000-0008-0000-3800-000002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25400</xdr:colOff>
      <xdr:row>3</xdr:row>
      <xdr:rowOff>0</xdr:rowOff>
    </xdr:from>
    <xdr:to>
      <xdr:col>4</xdr:col>
      <xdr:colOff>12700</xdr:colOff>
      <xdr:row>4</xdr:row>
      <xdr:rowOff>101600</xdr:rowOff>
    </xdr:to>
    <xdr:sp macro="" textlink="">
      <xdr:nvSpPr>
        <xdr:cNvPr id="60419" name="cmdSpecifyArg1" hidden="1">
          <a:extLst>
            <a:ext uri="{63B3BB69-23CF-44E3-9099-C40C66FF867C}">
              <a14:compatExt xmlns:a14="http://schemas.microsoft.com/office/drawing/2010/main" spid="_x0000_s60419"/>
            </a:ext>
            <a:ext uri="{FF2B5EF4-FFF2-40B4-BE49-F238E27FC236}">
              <a16:creationId xmlns:a16="http://schemas.microsoft.com/office/drawing/2014/main" id="{00000000-0008-0000-3800-000003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0</xdr:rowOff>
    </xdr:from>
    <xdr:to>
      <xdr:col>5</xdr:col>
      <xdr:colOff>12700</xdr:colOff>
      <xdr:row>4</xdr:row>
      <xdr:rowOff>101600</xdr:rowOff>
    </xdr:to>
    <xdr:sp macro="" textlink="">
      <xdr:nvSpPr>
        <xdr:cNvPr id="60420" name="cmdSpecifyArg2" hidden="1">
          <a:extLst>
            <a:ext uri="{63B3BB69-23CF-44E3-9099-C40C66FF867C}">
              <a14:compatExt xmlns:a14="http://schemas.microsoft.com/office/drawing/2010/main" spid="_x0000_s60420"/>
            </a:ext>
            <a:ext uri="{FF2B5EF4-FFF2-40B4-BE49-F238E27FC236}">
              <a16:creationId xmlns:a16="http://schemas.microsoft.com/office/drawing/2014/main" id="{00000000-0008-0000-3800-000004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0</xdr:rowOff>
    </xdr:from>
    <xdr:to>
      <xdr:col>6</xdr:col>
      <xdr:colOff>25400</xdr:colOff>
      <xdr:row>4</xdr:row>
      <xdr:rowOff>101600</xdr:rowOff>
    </xdr:to>
    <xdr:sp macro="" textlink="">
      <xdr:nvSpPr>
        <xdr:cNvPr id="60421" name="cmdSpecifyArg3" hidden="1">
          <a:extLst>
            <a:ext uri="{63B3BB69-23CF-44E3-9099-C40C66FF867C}">
              <a14:compatExt xmlns:a14="http://schemas.microsoft.com/office/drawing/2010/main" spid="_x0000_s60421"/>
            </a:ext>
            <a:ext uri="{FF2B5EF4-FFF2-40B4-BE49-F238E27FC236}">
              <a16:creationId xmlns:a16="http://schemas.microsoft.com/office/drawing/2014/main" id="{00000000-0008-0000-3800-000005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0</xdr:rowOff>
    </xdr:from>
    <xdr:to>
      <xdr:col>7</xdr:col>
      <xdr:colOff>25400</xdr:colOff>
      <xdr:row>4</xdr:row>
      <xdr:rowOff>101600</xdr:rowOff>
    </xdr:to>
    <xdr:sp macro="" textlink="">
      <xdr:nvSpPr>
        <xdr:cNvPr id="60422" name="cmdSpecifyArg4" hidden="1">
          <a:extLst>
            <a:ext uri="{63B3BB69-23CF-44E3-9099-C40C66FF867C}">
              <a14:compatExt xmlns:a14="http://schemas.microsoft.com/office/drawing/2010/main" spid="_x0000_s60422"/>
            </a:ext>
            <a:ext uri="{FF2B5EF4-FFF2-40B4-BE49-F238E27FC236}">
              <a16:creationId xmlns:a16="http://schemas.microsoft.com/office/drawing/2014/main" id="{00000000-0008-0000-3800-000006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0</xdr:rowOff>
    </xdr:from>
    <xdr:to>
      <xdr:col>8</xdr:col>
      <xdr:colOff>25400</xdr:colOff>
      <xdr:row>4</xdr:row>
      <xdr:rowOff>101600</xdr:rowOff>
    </xdr:to>
    <xdr:sp macro="" textlink="">
      <xdr:nvSpPr>
        <xdr:cNvPr id="60423" name="cmdSpecifyArg5" hidden="1">
          <a:extLst>
            <a:ext uri="{63B3BB69-23CF-44E3-9099-C40C66FF867C}">
              <a14:compatExt xmlns:a14="http://schemas.microsoft.com/office/drawing/2010/main" spid="_x0000_s60423"/>
            </a:ext>
            <a:ext uri="{FF2B5EF4-FFF2-40B4-BE49-F238E27FC236}">
              <a16:creationId xmlns:a16="http://schemas.microsoft.com/office/drawing/2014/main" id="{00000000-0008-0000-3800-000007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25400</xdr:colOff>
      <xdr:row>3</xdr:row>
      <xdr:rowOff>0</xdr:rowOff>
    </xdr:from>
    <xdr:to>
      <xdr:col>9</xdr:col>
      <xdr:colOff>25400</xdr:colOff>
      <xdr:row>4</xdr:row>
      <xdr:rowOff>101600</xdr:rowOff>
    </xdr:to>
    <xdr:sp macro="" textlink="">
      <xdr:nvSpPr>
        <xdr:cNvPr id="60424" name="cmdSpecifyArg6" hidden="1">
          <a:extLst>
            <a:ext uri="{63B3BB69-23CF-44E3-9099-C40C66FF867C}">
              <a14:compatExt xmlns:a14="http://schemas.microsoft.com/office/drawing/2010/main" spid="_x0000_s60424"/>
            </a:ext>
            <a:ext uri="{FF2B5EF4-FFF2-40B4-BE49-F238E27FC236}">
              <a16:creationId xmlns:a16="http://schemas.microsoft.com/office/drawing/2014/main" id="{00000000-0008-0000-3800-000008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0</xdr:rowOff>
    </xdr:from>
    <xdr:to>
      <xdr:col>10</xdr:col>
      <xdr:colOff>0</xdr:colOff>
      <xdr:row>4</xdr:row>
      <xdr:rowOff>88900</xdr:rowOff>
    </xdr:to>
    <xdr:sp macro="" textlink="">
      <xdr:nvSpPr>
        <xdr:cNvPr id="60425" name="cmdSpecifyIEOptcode" hidden="1">
          <a:extLst>
            <a:ext uri="{63B3BB69-23CF-44E3-9099-C40C66FF867C}">
              <a14:compatExt xmlns:a14="http://schemas.microsoft.com/office/drawing/2010/main" spid="_x0000_s60425"/>
            </a:ext>
            <a:ext uri="{FF2B5EF4-FFF2-40B4-BE49-F238E27FC236}">
              <a16:creationId xmlns:a16="http://schemas.microsoft.com/office/drawing/2014/main" id="{00000000-0008-0000-3800-000009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2</xdr:row>
      <xdr:rowOff>0</xdr:rowOff>
    </xdr:from>
    <xdr:to>
      <xdr:col>0</xdr:col>
      <xdr:colOff>838200</xdr:colOff>
      <xdr:row>3</xdr:row>
      <xdr:rowOff>0</xdr:rowOff>
    </xdr:to>
    <xdr:sp macro="" textlink="">
      <xdr:nvSpPr>
        <xdr:cNvPr id="60426" name="cmdCheckTSTradeSheet" hidden="1">
          <a:extLst>
            <a:ext uri="{63B3BB69-23CF-44E3-9099-C40C66FF867C}">
              <a14:compatExt xmlns:a14="http://schemas.microsoft.com/office/drawing/2010/main" spid="_x0000_s60426"/>
            </a:ext>
            <a:ext uri="{FF2B5EF4-FFF2-40B4-BE49-F238E27FC236}">
              <a16:creationId xmlns:a16="http://schemas.microsoft.com/office/drawing/2014/main" id="{00000000-0008-0000-3800-00000A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25400</xdr:colOff>
      <xdr:row>3</xdr:row>
      <xdr:rowOff>25400</xdr:rowOff>
    </xdr:from>
    <xdr:to>
      <xdr:col>0</xdr:col>
      <xdr:colOff>838200</xdr:colOff>
      <xdr:row>5</xdr:row>
      <xdr:rowOff>101600</xdr:rowOff>
    </xdr:to>
    <xdr:sp macro="" textlink="">
      <xdr:nvSpPr>
        <xdr:cNvPr id="60427" name="cmdPopulateDataYears" hidden="1">
          <a:extLst>
            <a:ext uri="{63B3BB69-23CF-44E3-9099-C40C66FF867C}">
              <a14:compatExt xmlns:a14="http://schemas.microsoft.com/office/drawing/2010/main" spid="_x0000_s60427"/>
            </a:ext>
            <a:ext uri="{FF2B5EF4-FFF2-40B4-BE49-F238E27FC236}">
              <a16:creationId xmlns:a16="http://schemas.microsoft.com/office/drawing/2014/main" id="{00000000-0008-0000-3800-00000BEC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0</xdr:rowOff>
    </xdr:from>
    <xdr:to>
      <xdr:col>3</xdr:col>
      <xdr:colOff>25400</xdr:colOff>
      <xdr:row>4</xdr:row>
      <xdr:rowOff>101600</xdr:rowOff>
    </xdr:to>
    <xdr:pic>
      <xdr:nvPicPr>
        <xdr:cNvPr id="2" name="cmdSpecifyParameter">
          <a:extLst>
            <a:ext uri="{FF2B5EF4-FFF2-40B4-BE49-F238E27FC236}">
              <a16:creationId xmlns:a16="http://schemas.microsoft.com/office/drawing/2014/main" id="{3591C904-783C-DA72-7F3A-C5633374A39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0" y="5080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25400</xdr:colOff>
      <xdr:row>3</xdr:row>
      <xdr:rowOff>0</xdr:rowOff>
    </xdr:from>
    <xdr:to>
      <xdr:col>4</xdr:col>
      <xdr:colOff>12700</xdr:colOff>
      <xdr:row>4</xdr:row>
      <xdr:rowOff>101600</xdr:rowOff>
    </xdr:to>
    <xdr:pic>
      <xdr:nvPicPr>
        <xdr:cNvPr id="3" name="cmdSpecifyArg1">
          <a:extLst>
            <a:ext uri="{FF2B5EF4-FFF2-40B4-BE49-F238E27FC236}">
              <a16:creationId xmlns:a16="http://schemas.microsoft.com/office/drawing/2014/main" id="{F8397A56-3E24-98EB-FA1A-E6586E6510BD}"/>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86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12700</xdr:colOff>
      <xdr:row>4</xdr:row>
      <xdr:rowOff>101600</xdr:rowOff>
    </xdr:to>
    <xdr:pic>
      <xdr:nvPicPr>
        <xdr:cNvPr id="4" name="cmdSpecifyArg2">
          <a:extLst>
            <a:ext uri="{FF2B5EF4-FFF2-40B4-BE49-F238E27FC236}">
              <a16:creationId xmlns:a16="http://schemas.microsoft.com/office/drawing/2014/main" id="{3041C979-D0C5-6D40-58C4-4B680E661969}"/>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798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6</xdr:col>
      <xdr:colOff>25400</xdr:colOff>
      <xdr:row>4</xdr:row>
      <xdr:rowOff>101600</xdr:rowOff>
    </xdr:to>
    <xdr:pic>
      <xdr:nvPicPr>
        <xdr:cNvPr id="5" name="cmdSpecifyArg3">
          <a:extLst>
            <a:ext uri="{FF2B5EF4-FFF2-40B4-BE49-F238E27FC236}">
              <a16:creationId xmlns:a16="http://schemas.microsoft.com/office/drawing/2014/main" id="{0FF37EEF-C26E-3503-633D-0CF9E2D73C5E}"/>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91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0</xdr:rowOff>
    </xdr:from>
    <xdr:to>
      <xdr:col>7</xdr:col>
      <xdr:colOff>25400</xdr:colOff>
      <xdr:row>4</xdr:row>
      <xdr:rowOff>101600</xdr:rowOff>
    </xdr:to>
    <xdr:pic>
      <xdr:nvPicPr>
        <xdr:cNvPr id="6" name="cmdSpecifyArg4">
          <a:extLst>
            <a:ext uri="{FF2B5EF4-FFF2-40B4-BE49-F238E27FC236}">
              <a16:creationId xmlns:a16="http://schemas.microsoft.com/office/drawing/2014/main" id="{B7A2D763-8632-8AC4-81BA-0596C7A2A48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8895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0</xdr:rowOff>
    </xdr:from>
    <xdr:to>
      <xdr:col>8</xdr:col>
      <xdr:colOff>25400</xdr:colOff>
      <xdr:row>4</xdr:row>
      <xdr:rowOff>101600</xdr:rowOff>
    </xdr:to>
    <xdr:pic>
      <xdr:nvPicPr>
        <xdr:cNvPr id="7" name="cmdSpecifyArg5">
          <a:extLst>
            <a:ext uri="{FF2B5EF4-FFF2-40B4-BE49-F238E27FC236}">
              <a16:creationId xmlns:a16="http://schemas.microsoft.com/office/drawing/2014/main" id="{59E8C256-9194-2CA6-2AB3-D76337C1DCB9}"/>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588000" y="5080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25400</xdr:colOff>
      <xdr:row>3</xdr:row>
      <xdr:rowOff>0</xdr:rowOff>
    </xdr:from>
    <xdr:to>
      <xdr:col>9</xdr:col>
      <xdr:colOff>25400</xdr:colOff>
      <xdr:row>4</xdr:row>
      <xdr:rowOff>101600</xdr:rowOff>
    </xdr:to>
    <xdr:pic>
      <xdr:nvPicPr>
        <xdr:cNvPr id="8" name="cmdSpecifyArg6">
          <a:extLst>
            <a:ext uri="{FF2B5EF4-FFF2-40B4-BE49-F238E27FC236}">
              <a16:creationId xmlns:a16="http://schemas.microsoft.com/office/drawing/2014/main" id="{22F7084A-A072-CF7F-CD7E-F7695A3BD627}"/>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9200" y="508000"/>
          <a:ext cx="6985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0</xdr:rowOff>
    </xdr:from>
    <xdr:to>
      <xdr:col>10</xdr:col>
      <xdr:colOff>0</xdr:colOff>
      <xdr:row>4</xdr:row>
      <xdr:rowOff>88900</xdr:rowOff>
    </xdr:to>
    <xdr:pic>
      <xdr:nvPicPr>
        <xdr:cNvPr id="9" name="cmdSpecifyIEOptcode">
          <a:extLst>
            <a:ext uri="{FF2B5EF4-FFF2-40B4-BE49-F238E27FC236}">
              <a16:creationId xmlns:a16="http://schemas.microsoft.com/office/drawing/2014/main" id="{EF800189-6177-BE87-AFE3-54D45101CDCC}"/>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997700" y="508000"/>
          <a:ext cx="5207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2</xdr:row>
      <xdr:rowOff>0</xdr:rowOff>
    </xdr:from>
    <xdr:to>
      <xdr:col>0</xdr:col>
      <xdr:colOff>838200</xdr:colOff>
      <xdr:row>3</xdr:row>
      <xdr:rowOff>0</xdr:rowOff>
    </xdr:to>
    <xdr:pic>
      <xdr:nvPicPr>
        <xdr:cNvPr id="10" name="cmdCheckTSTradeSheet">
          <a:extLst>
            <a:ext uri="{FF2B5EF4-FFF2-40B4-BE49-F238E27FC236}">
              <a16:creationId xmlns:a16="http://schemas.microsoft.com/office/drawing/2014/main" id="{BA882AD9-738B-221A-4A3F-E5B45AC9E0D6}"/>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4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25400</xdr:colOff>
      <xdr:row>3</xdr:row>
      <xdr:rowOff>25400</xdr:rowOff>
    </xdr:from>
    <xdr:to>
      <xdr:col>0</xdr:col>
      <xdr:colOff>838200</xdr:colOff>
      <xdr:row>5</xdr:row>
      <xdr:rowOff>101600</xdr:rowOff>
    </xdr:to>
    <xdr:pic>
      <xdr:nvPicPr>
        <xdr:cNvPr id="11" name="cmdPopulateDataYears">
          <a:extLst>
            <a:ext uri="{FF2B5EF4-FFF2-40B4-BE49-F238E27FC236}">
              <a16:creationId xmlns:a16="http://schemas.microsoft.com/office/drawing/2014/main" id="{0E26F78C-11A4-0A2D-7448-B36BCBCAB3CC}"/>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400" y="533400"/>
          <a:ext cx="812800" cy="355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825500</xdr:colOff>
      <xdr:row>3</xdr:row>
      <xdr:rowOff>38100</xdr:rowOff>
    </xdr:to>
    <xdr:sp macro="" textlink="">
      <xdr:nvSpPr>
        <xdr:cNvPr id="61442" name="cmdCheckTIDTradeSheet" hidden="1">
          <a:extLst>
            <a:ext uri="{63B3BB69-23CF-44E3-9099-C40C66FF867C}">
              <a14:compatExt xmlns:a14="http://schemas.microsoft.com/office/drawing/2010/main" spid="_x0000_s61442"/>
            </a:ext>
            <a:ext uri="{FF2B5EF4-FFF2-40B4-BE49-F238E27FC236}">
              <a16:creationId xmlns:a16="http://schemas.microsoft.com/office/drawing/2014/main" id="{00000000-0008-0000-3900-000002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0</xdr:colOff>
      <xdr:row>3</xdr:row>
      <xdr:rowOff>12700</xdr:rowOff>
    </xdr:from>
    <xdr:to>
      <xdr:col>3</xdr:col>
      <xdr:colOff>25400</xdr:colOff>
      <xdr:row>4</xdr:row>
      <xdr:rowOff>114300</xdr:rowOff>
    </xdr:to>
    <xdr:sp macro="" textlink="">
      <xdr:nvSpPr>
        <xdr:cNvPr id="61443" name="cmdSpecifyParameter" hidden="1">
          <a:extLst>
            <a:ext uri="{63B3BB69-23CF-44E3-9099-C40C66FF867C}">
              <a14:compatExt xmlns:a14="http://schemas.microsoft.com/office/drawing/2010/main" spid="_x0000_s61443"/>
            </a:ext>
            <a:ext uri="{FF2B5EF4-FFF2-40B4-BE49-F238E27FC236}">
              <a16:creationId xmlns:a16="http://schemas.microsoft.com/office/drawing/2014/main" id="{00000000-0008-0000-3900-000003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0</xdr:colOff>
      <xdr:row>4</xdr:row>
      <xdr:rowOff>114300</xdr:rowOff>
    </xdr:to>
    <xdr:sp macro="" textlink="">
      <xdr:nvSpPr>
        <xdr:cNvPr id="61444" name="cmdSpecifyArg1" hidden="1">
          <a:extLst>
            <a:ext uri="{63B3BB69-23CF-44E3-9099-C40C66FF867C}">
              <a14:compatExt xmlns:a14="http://schemas.microsoft.com/office/drawing/2010/main" spid="_x0000_s61444"/>
            </a:ext>
            <a:ext uri="{FF2B5EF4-FFF2-40B4-BE49-F238E27FC236}">
              <a16:creationId xmlns:a16="http://schemas.microsoft.com/office/drawing/2014/main" id="{00000000-0008-0000-3900-000004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12700</xdr:colOff>
      <xdr:row>4</xdr:row>
      <xdr:rowOff>114300</xdr:rowOff>
    </xdr:to>
    <xdr:sp macro="" textlink="">
      <xdr:nvSpPr>
        <xdr:cNvPr id="61445" name="cmdSpecifyArg2" hidden="1">
          <a:extLst>
            <a:ext uri="{63B3BB69-23CF-44E3-9099-C40C66FF867C}">
              <a14:compatExt xmlns:a14="http://schemas.microsoft.com/office/drawing/2010/main" spid="_x0000_s61445"/>
            </a:ext>
            <a:ext uri="{FF2B5EF4-FFF2-40B4-BE49-F238E27FC236}">
              <a16:creationId xmlns:a16="http://schemas.microsoft.com/office/drawing/2014/main" id="{00000000-0008-0000-3900-000005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114300</xdr:rowOff>
    </xdr:to>
    <xdr:sp macro="" textlink="">
      <xdr:nvSpPr>
        <xdr:cNvPr id="61446" name="cmdSpecifyArg3" hidden="1">
          <a:extLst>
            <a:ext uri="{63B3BB69-23CF-44E3-9099-C40C66FF867C}">
              <a14:compatExt xmlns:a14="http://schemas.microsoft.com/office/drawing/2010/main" spid="_x0000_s61446"/>
            </a:ext>
            <a:ext uri="{FF2B5EF4-FFF2-40B4-BE49-F238E27FC236}">
              <a16:creationId xmlns:a16="http://schemas.microsoft.com/office/drawing/2014/main" id="{00000000-0008-0000-3900-000006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114300</xdr:rowOff>
    </xdr:to>
    <xdr:sp macro="" textlink="">
      <xdr:nvSpPr>
        <xdr:cNvPr id="61447" name="cmdSpecifyArg4" hidden="1">
          <a:extLst>
            <a:ext uri="{63B3BB69-23CF-44E3-9099-C40C66FF867C}">
              <a14:compatExt xmlns:a14="http://schemas.microsoft.com/office/drawing/2010/main" spid="_x0000_s61447"/>
            </a:ext>
            <a:ext uri="{FF2B5EF4-FFF2-40B4-BE49-F238E27FC236}">
              <a16:creationId xmlns:a16="http://schemas.microsoft.com/office/drawing/2014/main" id="{00000000-0008-0000-3900-000007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114300</xdr:rowOff>
    </xdr:to>
    <xdr:sp macro="" textlink="">
      <xdr:nvSpPr>
        <xdr:cNvPr id="61448" name="cmdSpecifyArg5" hidden="1">
          <a:extLst>
            <a:ext uri="{63B3BB69-23CF-44E3-9099-C40C66FF867C}">
              <a14:compatExt xmlns:a14="http://schemas.microsoft.com/office/drawing/2010/main" spid="_x0000_s61448"/>
            </a:ext>
            <a:ext uri="{FF2B5EF4-FFF2-40B4-BE49-F238E27FC236}">
              <a16:creationId xmlns:a16="http://schemas.microsoft.com/office/drawing/2014/main" id="{00000000-0008-0000-3900-000008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114300</xdr:rowOff>
    </xdr:to>
    <xdr:sp macro="" textlink="">
      <xdr:nvSpPr>
        <xdr:cNvPr id="61449" name="cmdSpecifyArg6" hidden="1">
          <a:extLst>
            <a:ext uri="{63B3BB69-23CF-44E3-9099-C40C66FF867C}">
              <a14:compatExt xmlns:a14="http://schemas.microsoft.com/office/drawing/2010/main" spid="_x0000_s61449"/>
            </a:ext>
            <a:ext uri="{FF2B5EF4-FFF2-40B4-BE49-F238E27FC236}">
              <a16:creationId xmlns:a16="http://schemas.microsoft.com/office/drawing/2014/main" id="{00000000-0008-0000-3900-000009F0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0</xdr:rowOff>
    </xdr:from>
    <xdr:to>
      <xdr:col>0</xdr:col>
      <xdr:colOff>825500</xdr:colOff>
      <xdr:row>3</xdr:row>
      <xdr:rowOff>38100</xdr:rowOff>
    </xdr:to>
    <xdr:pic>
      <xdr:nvPicPr>
        <xdr:cNvPr id="2" name="cmdCheckTIDTradeSheet">
          <a:extLst>
            <a:ext uri="{FF2B5EF4-FFF2-40B4-BE49-F238E27FC236}">
              <a16:creationId xmlns:a16="http://schemas.microsoft.com/office/drawing/2014/main" id="{9357DE98-D12C-9E99-0DF9-3DEFF92609E5}"/>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794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0</xdr:colOff>
      <xdr:row>3</xdr:row>
      <xdr:rowOff>12700</xdr:rowOff>
    </xdr:from>
    <xdr:to>
      <xdr:col>3</xdr:col>
      <xdr:colOff>25400</xdr:colOff>
      <xdr:row>4</xdr:row>
      <xdr:rowOff>114300</xdr:rowOff>
    </xdr:to>
    <xdr:pic>
      <xdr:nvPicPr>
        <xdr:cNvPr id="3" name="cmdSpecifyParameter">
          <a:extLst>
            <a:ext uri="{FF2B5EF4-FFF2-40B4-BE49-F238E27FC236}">
              <a16:creationId xmlns:a16="http://schemas.microsoft.com/office/drawing/2014/main" id="{6ECD7E30-AE09-4DD5-1C07-69D5967E68C1}"/>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6100" y="482600"/>
          <a:ext cx="927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0</xdr:colOff>
      <xdr:row>4</xdr:row>
      <xdr:rowOff>114300</xdr:rowOff>
    </xdr:to>
    <xdr:pic>
      <xdr:nvPicPr>
        <xdr:cNvPr id="4" name="cmdSpecifyArg1">
          <a:extLst>
            <a:ext uri="{FF2B5EF4-FFF2-40B4-BE49-F238E27FC236}">
              <a16:creationId xmlns:a16="http://schemas.microsoft.com/office/drawing/2014/main" id="{EC5D178B-F513-C747-40E7-52E513044172}"/>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305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12700</xdr:colOff>
      <xdr:row>4</xdr:row>
      <xdr:rowOff>114300</xdr:rowOff>
    </xdr:to>
    <xdr:pic>
      <xdr:nvPicPr>
        <xdr:cNvPr id="5" name="cmdSpecifyArg2">
          <a:extLst>
            <a:ext uri="{FF2B5EF4-FFF2-40B4-BE49-F238E27FC236}">
              <a16:creationId xmlns:a16="http://schemas.microsoft.com/office/drawing/2014/main" id="{C4731500-74DF-21DB-A69C-D275D4DE124A}"/>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544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114300</xdr:rowOff>
    </xdr:to>
    <xdr:pic>
      <xdr:nvPicPr>
        <xdr:cNvPr id="6" name="cmdSpecifyArg3">
          <a:extLst>
            <a:ext uri="{FF2B5EF4-FFF2-40B4-BE49-F238E27FC236}">
              <a16:creationId xmlns:a16="http://schemas.microsoft.com/office/drawing/2014/main" id="{DCADA1DF-9368-F92C-84B8-C342F97DE3BC}"/>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165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114300</xdr:rowOff>
    </xdr:to>
    <xdr:pic>
      <xdr:nvPicPr>
        <xdr:cNvPr id="7" name="cmdSpecifyArg4">
          <a:extLst>
            <a:ext uri="{FF2B5EF4-FFF2-40B4-BE49-F238E27FC236}">
              <a16:creationId xmlns:a16="http://schemas.microsoft.com/office/drawing/2014/main" id="{4F31D236-F3FF-511D-480C-60AE3E032885}"/>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864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114300</xdr:rowOff>
    </xdr:to>
    <xdr:pic>
      <xdr:nvPicPr>
        <xdr:cNvPr id="8" name="cmdSpecifyArg5">
          <a:extLst>
            <a:ext uri="{FF2B5EF4-FFF2-40B4-BE49-F238E27FC236}">
              <a16:creationId xmlns:a16="http://schemas.microsoft.com/office/drawing/2014/main" id="{6E5903DC-DD67-091B-EF05-42DD1CFBCC6B}"/>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26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114300</xdr:rowOff>
    </xdr:to>
    <xdr:pic>
      <xdr:nvPicPr>
        <xdr:cNvPr id="9" name="cmdSpecifyArg6">
          <a:extLst>
            <a:ext uri="{FF2B5EF4-FFF2-40B4-BE49-F238E27FC236}">
              <a16:creationId xmlns:a16="http://schemas.microsoft.com/office/drawing/2014/main" id="{766A0ABF-18E5-5863-963A-823E34114C0B}"/>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1100" y="4826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12700</xdr:colOff>
      <xdr:row>2</xdr:row>
      <xdr:rowOff>25400</xdr:rowOff>
    </xdr:from>
    <xdr:to>
      <xdr:col>0</xdr:col>
      <xdr:colOff>825500</xdr:colOff>
      <xdr:row>3</xdr:row>
      <xdr:rowOff>0</xdr:rowOff>
    </xdr:to>
    <xdr:sp macro="" textlink="">
      <xdr:nvSpPr>
        <xdr:cNvPr id="62466" name="cmdCheckTSandTIDTradeSheet" hidden="1">
          <a:extLst>
            <a:ext uri="{63B3BB69-23CF-44E3-9099-C40C66FF867C}">
              <a14:compatExt xmlns:a14="http://schemas.microsoft.com/office/drawing/2010/main" spid="_x0000_s62466"/>
            </a:ext>
            <a:ext uri="{FF2B5EF4-FFF2-40B4-BE49-F238E27FC236}">
              <a16:creationId xmlns:a16="http://schemas.microsoft.com/office/drawing/2014/main" id="{00000000-0008-0000-3A00-000002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2</xdr:col>
      <xdr:colOff>12700</xdr:colOff>
      <xdr:row>3</xdr:row>
      <xdr:rowOff>12700</xdr:rowOff>
    </xdr:from>
    <xdr:to>
      <xdr:col>3</xdr:col>
      <xdr:colOff>12700</xdr:colOff>
      <xdr:row>4</xdr:row>
      <xdr:rowOff>88900</xdr:rowOff>
    </xdr:to>
    <xdr:sp macro="" textlink="">
      <xdr:nvSpPr>
        <xdr:cNvPr id="62467" name="cmdSpecifyParameter" hidden="1">
          <a:extLst>
            <a:ext uri="{63B3BB69-23CF-44E3-9099-C40C66FF867C}">
              <a14:compatExt xmlns:a14="http://schemas.microsoft.com/office/drawing/2010/main" spid="_x0000_s62467"/>
            </a:ext>
            <a:ext uri="{FF2B5EF4-FFF2-40B4-BE49-F238E27FC236}">
              <a16:creationId xmlns:a16="http://schemas.microsoft.com/office/drawing/2014/main" id="{00000000-0008-0000-3A00-000003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3</xdr:col>
      <xdr:colOff>12700</xdr:colOff>
      <xdr:row>3</xdr:row>
      <xdr:rowOff>12700</xdr:rowOff>
    </xdr:from>
    <xdr:to>
      <xdr:col>4</xdr:col>
      <xdr:colOff>25400</xdr:colOff>
      <xdr:row>4</xdr:row>
      <xdr:rowOff>88900</xdr:rowOff>
    </xdr:to>
    <xdr:sp macro="" textlink="">
      <xdr:nvSpPr>
        <xdr:cNvPr id="62468" name="cmdSpecifyArg1" hidden="1">
          <a:extLst>
            <a:ext uri="{63B3BB69-23CF-44E3-9099-C40C66FF867C}">
              <a14:compatExt xmlns:a14="http://schemas.microsoft.com/office/drawing/2010/main" spid="_x0000_s62468"/>
            </a:ext>
            <a:ext uri="{FF2B5EF4-FFF2-40B4-BE49-F238E27FC236}">
              <a16:creationId xmlns:a16="http://schemas.microsoft.com/office/drawing/2014/main" id="{00000000-0008-0000-3A00-000004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4</xdr:col>
      <xdr:colOff>12700</xdr:colOff>
      <xdr:row>3</xdr:row>
      <xdr:rowOff>12700</xdr:rowOff>
    </xdr:from>
    <xdr:to>
      <xdr:col>5</xdr:col>
      <xdr:colOff>25400</xdr:colOff>
      <xdr:row>4</xdr:row>
      <xdr:rowOff>88900</xdr:rowOff>
    </xdr:to>
    <xdr:sp macro="" textlink="">
      <xdr:nvSpPr>
        <xdr:cNvPr id="62469" name="cmdSpecifyArg2" hidden="1">
          <a:extLst>
            <a:ext uri="{63B3BB69-23CF-44E3-9099-C40C66FF867C}">
              <a14:compatExt xmlns:a14="http://schemas.microsoft.com/office/drawing/2010/main" spid="_x0000_s62469"/>
            </a:ext>
            <a:ext uri="{FF2B5EF4-FFF2-40B4-BE49-F238E27FC236}">
              <a16:creationId xmlns:a16="http://schemas.microsoft.com/office/drawing/2014/main" id="{00000000-0008-0000-3A00-000005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5</xdr:col>
      <xdr:colOff>12700</xdr:colOff>
      <xdr:row>3</xdr:row>
      <xdr:rowOff>12700</xdr:rowOff>
    </xdr:from>
    <xdr:to>
      <xdr:col>6</xdr:col>
      <xdr:colOff>25400</xdr:colOff>
      <xdr:row>4</xdr:row>
      <xdr:rowOff>88900</xdr:rowOff>
    </xdr:to>
    <xdr:sp macro="" textlink="">
      <xdr:nvSpPr>
        <xdr:cNvPr id="62470" name="cmdSpecifyArg3" hidden="1">
          <a:extLst>
            <a:ext uri="{63B3BB69-23CF-44E3-9099-C40C66FF867C}">
              <a14:compatExt xmlns:a14="http://schemas.microsoft.com/office/drawing/2010/main" spid="_x0000_s62470"/>
            </a:ext>
            <a:ext uri="{FF2B5EF4-FFF2-40B4-BE49-F238E27FC236}">
              <a16:creationId xmlns:a16="http://schemas.microsoft.com/office/drawing/2014/main" id="{00000000-0008-0000-3A00-000006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6</xdr:col>
      <xdr:colOff>12700</xdr:colOff>
      <xdr:row>3</xdr:row>
      <xdr:rowOff>12700</xdr:rowOff>
    </xdr:from>
    <xdr:to>
      <xdr:col>7</xdr:col>
      <xdr:colOff>25400</xdr:colOff>
      <xdr:row>4</xdr:row>
      <xdr:rowOff>88900</xdr:rowOff>
    </xdr:to>
    <xdr:sp macro="" textlink="">
      <xdr:nvSpPr>
        <xdr:cNvPr id="62471" name="cmdSpecifyArg4" hidden="1">
          <a:extLst>
            <a:ext uri="{63B3BB69-23CF-44E3-9099-C40C66FF867C}">
              <a14:compatExt xmlns:a14="http://schemas.microsoft.com/office/drawing/2010/main" spid="_x0000_s62471"/>
            </a:ext>
            <a:ext uri="{FF2B5EF4-FFF2-40B4-BE49-F238E27FC236}">
              <a16:creationId xmlns:a16="http://schemas.microsoft.com/office/drawing/2014/main" id="{00000000-0008-0000-3A00-000007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7</xdr:col>
      <xdr:colOff>12700</xdr:colOff>
      <xdr:row>3</xdr:row>
      <xdr:rowOff>12700</xdr:rowOff>
    </xdr:from>
    <xdr:to>
      <xdr:col>8</xdr:col>
      <xdr:colOff>25400</xdr:colOff>
      <xdr:row>4</xdr:row>
      <xdr:rowOff>88900</xdr:rowOff>
    </xdr:to>
    <xdr:sp macro="" textlink="">
      <xdr:nvSpPr>
        <xdr:cNvPr id="62472" name="cmdSpecifyArg5" hidden="1">
          <a:extLst>
            <a:ext uri="{63B3BB69-23CF-44E3-9099-C40C66FF867C}">
              <a14:compatExt xmlns:a14="http://schemas.microsoft.com/office/drawing/2010/main" spid="_x0000_s62472"/>
            </a:ext>
            <a:ext uri="{FF2B5EF4-FFF2-40B4-BE49-F238E27FC236}">
              <a16:creationId xmlns:a16="http://schemas.microsoft.com/office/drawing/2014/main" id="{00000000-0008-0000-3A00-000008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8</xdr:col>
      <xdr:colOff>12700</xdr:colOff>
      <xdr:row>3</xdr:row>
      <xdr:rowOff>12700</xdr:rowOff>
    </xdr:from>
    <xdr:to>
      <xdr:col>9</xdr:col>
      <xdr:colOff>25400</xdr:colOff>
      <xdr:row>4</xdr:row>
      <xdr:rowOff>88900</xdr:rowOff>
    </xdr:to>
    <xdr:sp macro="" textlink="">
      <xdr:nvSpPr>
        <xdr:cNvPr id="62473" name="cmdSpecifyArg6" hidden="1">
          <a:extLst>
            <a:ext uri="{63B3BB69-23CF-44E3-9099-C40C66FF867C}">
              <a14:compatExt xmlns:a14="http://schemas.microsoft.com/office/drawing/2010/main" spid="_x0000_s62473"/>
            </a:ext>
            <a:ext uri="{FF2B5EF4-FFF2-40B4-BE49-F238E27FC236}">
              <a16:creationId xmlns:a16="http://schemas.microsoft.com/office/drawing/2014/main" id="{00000000-0008-0000-3A00-000009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9</xdr:col>
      <xdr:colOff>25400</xdr:colOff>
      <xdr:row>3</xdr:row>
      <xdr:rowOff>12700</xdr:rowOff>
    </xdr:from>
    <xdr:to>
      <xdr:col>10</xdr:col>
      <xdr:colOff>12700</xdr:colOff>
      <xdr:row>4</xdr:row>
      <xdr:rowOff>88900</xdr:rowOff>
    </xdr:to>
    <xdr:sp macro="" textlink="">
      <xdr:nvSpPr>
        <xdr:cNvPr id="62474" name="cmdSpecifyIEOptcode" hidden="1">
          <a:extLst>
            <a:ext uri="{63B3BB69-23CF-44E3-9099-C40C66FF867C}">
              <a14:compatExt xmlns:a14="http://schemas.microsoft.com/office/drawing/2010/main" spid="_x0000_s62474"/>
            </a:ext>
            <a:ext uri="{FF2B5EF4-FFF2-40B4-BE49-F238E27FC236}">
              <a16:creationId xmlns:a16="http://schemas.microsoft.com/office/drawing/2014/main" id="{00000000-0008-0000-3A00-00000A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4</xdr:row>
      <xdr:rowOff>25400</xdr:rowOff>
    </xdr:from>
    <xdr:to>
      <xdr:col>0</xdr:col>
      <xdr:colOff>673100</xdr:colOff>
      <xdr:row>6</xdr:row>
      <xdr:rowOff>38100</xdr:rowOff>
    </xdr:to>
    <xdr:sp macro="" textlink="">
      <xdr:nvSpPr>
        <xdr:cNvPr id="62475" name="cmdPopulateDataYears" hidden="1">
          <a:extLst>
            <a:ext uri="{63B3BB69-23CF-44E3-9099-C40C66FF867C}">
              <a14:compatExt xmlns:a14="http://schemas.microsoft.com/office/drawing/2010/main" spid="_x0000_s62475"/>
            </a:ext>
            <a:ext uri="{FF2B5EF4-FFF2-40B4-BE49-F238E27FC236}">
              <a16:creationId xmlns:a16="http://schemas.microsoft.com/office/drawing/2014/main" id="{00000000-0008-0000-3A00-00000BF40000}"/>
            </a:ext>
          </a:extLst>
        </xdr:cNvPr>
        <xdr:cNvSpPr/>
      </xdr:nvSpPr>
      <xdr:spPr bwMode="auto">
        <a:xfrm>
          <a:off x="0" y="0"/>
          <a:ext cx="0" cy="0"/>
        </a:xfrm>
        <a:prstGeom prst="rect">
          <a:avLst/>
        </a:prstGeom>
        <a:noFill/>
        <a:ln>
          <a:noFill/>
        </a:ln>
        <a:extLst>
          <a:ext uri="{91240B29-F687-4F45-9708-019B960494DF}">
            <a14:hiddenLine xmlns:a14="http://schemas.microsoft.com/office/drawing/2010/main" w="9525">
              <a:noFill/>
              <a:miter lim="800000"/>
              <a:headEnd/>
              <a:tailEnd/>
            </a14:hiddenLine>
          </a:ext>
        </a:extLst>
      </xdr:spPr>
    </xdr:sp>
    <xdr:clientData/>
  </xdr:twoCellAnchor>
  <xdr:twoCellAnchor editAs="oneCell">
    <xdr:from>
      <xdr:col>0</xdr:col>
      <xdr:colOff>12700</xdr:colOff>
      <xdr:row>2</xdr:row>
      <xdr:rowOff>25400</xdr:rowOff>
    </xdr:from>
    <xdr:to>
      <xdr:col>0</xdr:col>
      <xdr:colOff>825500</xdr:colOff>
      <xdr:row>3</xdr:row>
      <xdr:rowOff>0</xdr:rowOff>
    </xdr:to>
    <xdr:pic>
      <xdr:nvPicPr>
        <xdr:cNvPr id="2" name="cmdCheckTSandTIDTradeSheet">
          <a:extLst>
            <a:ext uri="{FF2B5EF4-FFF2-40B4-BE49-F238E27FC236}">
              <a16:creationId xmlns:a16="http://schemas.microsoft.com/office/drawing/2014/main" id="{D343570B-E8B0-3A94-D473-94AA17BD492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55600"/>
          <a:ext cx="8128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2</xdr:col>
      <xdr:colOff>12700</xdr:colOff>
      <xdr:row>3</xdr:row>
      <xdr:rowOff>12700</xdr:rowOff>
    </xdr:from>
    <xdr:to>
      <xdr:col>3</xdr:col>
      <xdr:colOff>12700</xdr:colOff>
      <xdr:row>4</xdr:row>
      <xdr:rowOff>88900</xdr:rowOff>
    </xdr:to>
    <xdr:pic>
      <xdr:nvPicPr>
        <xdr:cNvPr id="3" name="cmdSpecifyParameter">
          <a:extLst>
            <a:ext uri="{FF2B5EF4-FFF2-40B4-BE49-F238E27FC236}">
              <a16:creationId xmlns:a16="http://schemas.microsoft.com/office/drawing/2014/main" id="{A3856EDA-B598-0443-612F-49A303F628E4}"/>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700" y="596900"/>
          <a:ext cx="939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3</xdr:col>
      <xdr:colOff>12700</xdr:colOff>
      <xdr:row>3</xdr:row>
      <xdr:rowOff>12700</xdr:rowOff>
    </xdr:from>
    <xdr:to>
      <xdr:col>4</xdr:col>
      <xdr:colOff>25400</xdr:colOff>
      <xdr:row>4</xdr:row>
      <xdr:rowOff>88900</xdr:rowOff>
    </xdr:to>
    <xdr:pic>
      <xdr:nvPicPr>
        <xdr:cNvPr id="4" name="cmdSpecifyArg1">
          <a:extLst>
            <a:ext uri="{FF2B5EF4-FFF2-40B4-BE49-F238E27FC236}">
              <a16:creationId xmlns:a16="http://schemas.microsoft.com/office/drawing/2014/main" id="{09B10436-F946-A116-2141-89B8C8394C8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12700</xdr:rowOff>
    </xdr:from>
    <xdr:to>
      <xdr:col>5</xdr:col>
      <xdr:colOff>25400</xdr:colOff>
      <xdr:row>4</xdr:row>
      <xdr:rowOff>88900</xdr:rowOff>
    </xdr:to>
    <xdr:pic>
      <xdr:nvPicPr>
        <xdr:cNvPr id="5" name="cmdSpecifyArg2">
          <a:extLst>
            <a:ext uri="{FF2B5EF4-FFF2-40B4-BE49-F238E27FC236}">
              <a16:creationId xmlns:a16="http://schemas.microsoft.com/office/drawing/2014/main" id="{7F72DCF3-D093-F8A2-6CF0-5BB952B4413D}"/>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02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12700</xdr:rowOff>
    </xdr:from>
    <xdr:to>
      <xdr:col>6</xdr:col>
      <xdr:colOff>25400</xdr:colOff>
      <xdr:row>4</xdr:row>
      <xdr:rowOff>88900</xdr:rowOff>
    </xdr:to>
    <xdr:pic>
      <xdr:nvPicPr>
        <xdr:cNvPr id="6" name="cmdSpecifyArg3">
          <a:extLst>
            <a:ext uri="{FF2B5EF4-FFF2-40B4-BE49-F238E27FC236}">
              <a16:creationId xmlns:a16="http://schemas.microsoft.com/office/drawing/2014/main" id="{21612AD2-054C-FCB8-DC40-DDE2402E55DD}"/>
            </a:ext>
          </a:extLst>
        </xdr:cNvPr>
        <xdr:cNvPicPr preferRelativeResize="0">
          <a:picLocks noChangeArrowheads="1" noChangeShapeType="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00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6</xdr:col>
      <xdr:colOff>12700</xdr:colOff>
      <xdr:row>3</xdr:row>
      <xdr:rowOff>12700</xdr:rowOff>
    </xdr:from>
    <xdr:to>
      <xdr:col>7</xdr:col>
      <xdr:colOff>25400</xdr:colOff>
      <xdr:row>4</xdr:row>
      <xdr:rowOff>88900</xdr:rowOff>
    </xdr:to>
    <xdr:pic>
      <xdr:nvPicPr>
        <xdr:cNvPr id="7" name="cmdSpecifyArg4">
          <a:extLst>
            <a:ext uri="{FF2B5EF4-FFF2-40B4-BE49-F238E27FC236}">
              <a16:creationId xmlns:a16="http://schemas.microsoft.com/office/drawing/2014/main" id="{6FBA7514-2AC1-46DD-5B74-81F10B0A52EC}"/>
            </a:ext>
          </a:extLst>
        </xdr:cNvPr>
        <xdr:cNvPicPr preferRelativeResize="0">
          <a:picLocks noChangeArrowheads="1" noChangeShapeType="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699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7</xdr:col>
      <xdr:colOff>12700</xdr:colOff>
      <xdr:row>3</xdr:row>
      <xdr:rowOff>12700</xdr:rowOff>
    </xdr:from>
    <xdr:to>
      <xdr:col>8</xdr:col>
      <xdr:colOff>25400</xdr:colOff>
      <xdr:row>4</xdr:row>
      <xdr:rowOff>88900</xdr:rowOff>
    </xdr:to>
    <xdr:pic>
      <xdr:nvPicPr>
        <xdr:cNvPr id="8" name="cmdSpecifyArg5">
          <a:extLst>
            <a:ext uri="{FF2B5EF4-FFF2-40B4-BE49-F238E27FC236}">
              <a16:creationId xmlns:a16="http://schemas.microsoft.com/office/drawing/2014/main" id="{1B5DB01E-300D-CD4D-D630-3DEC5FA76608}"/>
            </a:ext>
          </a:extLst>
        </xdr:cNvPr>
        <xdr:cNvPicPr preferRelativeResize="0">
          <a:picLocks noChangeArrowheads="1" noChangeShapeType="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975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8</xdr:col>
      <xdr:colOff>12700</xdr:colOff>
      <xdr:row>3</xdr:row>
      <xdr:rowOff>12700</xdr:rowOff>
    </xdr:from>
    <xdr:to>
      <xdr:col>9</xdr:col>
      <xdr:colOff>25400</xdr:colOff>
      <xdr:row>4</xdr:row>
      <xdr:rowOff>88900</xdr:rowOff>
    </xdr:to>
    <xdr:pic>
      <xdr:nvPicPr>
        <xdr:cNvPr id="9" name="cmdSpecifyArg6">
          <a:extLst>
            <a:ext uri="{FF2B5EF4-FFF2-40B4-BE49-F238E27FC236}">
              <a16:creationId xmlns:a16="http://schemas.microsoft.com/office/drawing/2014/main" id="{E3080621-C008-F6BF-8E13-73DAD20B36E1}"/>
            </a:ext>
          </a:extLst>
        </xdr:cNvPr>
        <xdr:cNvPicPr preferRelativeResize="0">
          <a:picLocks noChangeArrowheads="1" noChangeShapeType="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596900"/>
          <a:ext cx="7112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9</xdr:col>
      <xdr:colOff>25400</xdr:colOff>
      <xdr:row>3</xdr:row>
      <xdr:rowOff>12700</xdr:rowOff>
    </xdr:from>
    <xdr:to>
      <xdr:col>10</xdr:col>
      <xdr:colOff>12700</xdr:colOff>
      <xdr:row>4</xdr:row>
      <xdr:rowOff>88900</xdr:rowOff>
    </xdr:to>
    <xdr:pic>
      <xdr:nvPicPr>
        <xdr:cNvPr id="10" name="cmdSpecifyIEOptcode">
          <a:extLst>
            <a:ext uri="{FF2B5EF4-FFF2-40B4-BE49-F238E27FC236}">
              <a16:creationId xmlns:a16="http://schemas.microsoft.com/office/drawing/2014/main" id="{E1E75123-DF52-D5D4-952C-ABEA8A31F239}"/>
            </a:ext>
          </a:extLst>
        </xdr:cNvPr>
        <xdr:cNvPicPr preferRelativeResize="0">
          <a:picLocks noChangeArrowheads="1" noChangeShapeType="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07200" y="596900"/>
          <a:ext cx="558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0</xdr:col>
      <xdr:colOff>12700</xdr:colOff>
      <xdr:row>4</xdr:row>
      <xdr:rowOff>25400</xdr:rowOff>
    </xdr:from>
    <xdr:to>
      <xdr:col>0</xdr:col>
      <xdr:colOff>673100</xdr:colOff>
      <xdr:row>6</xdr:row>
      <xdr:rowOff>38100</xdr:rowOff>
    </xdr:to>
    <xdr:pic>
      <xdr:nvPicPr>
        <xdr:cNvPr id="11" name="cmdPopulateDataYears">
          <a:extLst>
            <a:ext uri="{FF2B5EF4-FFF2-40B4-BE49-F238E27FC236}">
              <a16:creationId xmlns:a16="http://schemas.microsoft.com/office/drawing/2014/main" id="{08505746-C99B-1A14-CBA2-34489EA22CFF}"/>
            </a:ext>
          </a:extLst>
        </xdr:cNvPr>
        <xdr:cNvPicPr preferRelativeResize="0">
          <a:picLocks noChangeArrowheads="1" noChangeShapeType="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700" y="774700"/>
          <a:ext cx="660400" cy="3429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C:\Models\SATIMGE_Veda\suppxls\Scen_UC_ELC.xlsx" TargetMode="External"/><Relationship Id="rId1" Type="http://schemas.openxmlformats.org/officeDocument/2006/relationships/externalLinkPath" Target="suppxls/Scen_UC_ELC.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M1" t="str">
            <v>-- TABLE 2 --</v>
          </cell>
          <cell r="U1" t="str">
            <v>-- TABLE 3 --</v>
          </cell>
          <cell r="AD1" t="str">
            <v>-- TABLE 4 --</v>
          </cell>
          <cell r="AK1" t="str">
            <v>-- TABLE 4 --</v>
          </cell>
          <cell r="CT1" t="str">
            <v>-- TABLE 11 --</v>
          </cell>
          <cell r="DD1" t="str">
            <v>-- TABLE 12 --</v>
          </cell>
        </row>
        <row r="3">
          <cell r="A3" t="str">
            <v>ENERGY AVAILABILITY FACTOR</v>
          </cell>
          <cell r="M3" t="str">
            <v>ENERGY UTILISATION FACTOR</v>
          </cell>
          <cell r="U3" t="str">
            <v>ENERGY SENTOUT</v>
          </cell>
          <cell r="AD3" t="str">
            <v>COAL BURN RATES</v>
          </cell>
          <cell r="AK3" t="str">
            <v>COAL BURN</v>
          </cell>
          <cell r="CT3" t="str">
            <v xml:space="preserve">ESKOM STATION GROSS WATER CONSUMPTION  </v>
          </cell>
          <cell r="DD3" t="str">
            <v>PARTICULATE EMISSIONS</v>
          </cell>
        </row>
        <row r="4">
          <cell r="A4" t="str">
            <v>(EAF %)</v>
          </cell>
          <cell r="M4" t="str">
            <v>(EUF %)</v>
          </cell>
          <cell r="U4" t="str">
            <v>(GWh)</v>
          </cell>
          <cell r="AD4" t="str">
            <v>(kg/kWh)</v>
          </cell>
          <cell r="AK4" t="str">
            <v>(kTons)</v>
          </cell>
          <cell r="CT4" t="str">
            <v>(Mm3)</v>
          </cell>
          <cell r="DD4" t="str">
            <v>(Tons)</v>
          </cell>
        </row>
        <row r="6">
          <cell r="A6" t="str">
            <v>STATION</v>
          </cell>
          <cell r="B6">
            <v>2000</v>
          </cell>
          <cell r="D6">
            <v>2001</v>
          </cell>
          <cell r="F6">
            <v>2002</v>
          </cell>
          <cell r="H6">
            <v>2003</v>
          </cell>
          <cell r="J6">
            <v>2004</v>
          </cell>
          <cell r="M6" t="str">
            <v>STATION</v>
          </cell>
          <cell r="N6">
            <v>1998</v>
          </cell>
          <cell r="O6">
            <v>2000</v>
          </cell>
          <cell r="P6">
            <v>2001</v>
          </cell>
          <cell r="Q6">
            <v>2002</v>
          </cell>
          <cell r="R6">
            <v>2003</v>
          </cell>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A7" t="str">
            <v>Arnot</v>
          </cell>
          <cell r="B7">
            <v>91.68</v>
          </cell>
          <cell r="C7">
            <v>181526.40000000002</v>
          </cell>
          <cell r="D7">
            <v>89.48</v>
          </cell>
          <cell r="E7">
            <v>177170.4</v>
          </cell>
          <cell r="F7">
            <v>91.990000000000009</v>
          </cell>
          <cell r="G7">
            <v>182140.2</v>
          </cell>
          <cell r="H7">
            <v>92.04</v>
          </cell>
          <cell r="I7">
            <v>182239.2</v>
          </cell>
          <cell r="J7">
            <v>91.4</v>
          </cell>
          <cell r="K7">
            <v>180972</v>
          </cell>
          <cell r="M7" t="str">
            <v>Arnot</v>
          </cell>
          <cell r="N7" t="e">
            <v>#REF!</v>
          </cell>
          <cell r="O7">
            <v>57.830982382241622</v>
          </cell>
          <cell r="P7">
            <v>72.815509514175403</v>
          </cell>
          <cell r="Q7">
            <v>76.626754862615371</v>
          </cell>
          <cell r="R7">
            <v>77.026135521833822</v>
          </cell>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A8" t="str">
            <v>Duvha</v>
          </cell>
          <cell r="B8">
            <v>90.36</v>
          </cell>
          <cell r="C8">
            <v>311742</v>
          </cell>
          <cell r="D8">
            <v>90.36</v>
          </cell>
          <cell r="E8">
            <v>311742</v>
          </cell>
          <cell r="F8">
            <v>90.65</v>
          </cell>
          <cell r="G8">
            <v>312742.5</v>
          </cell>
          <cell r="H8">
            <v>90.56</v>
          </cell>
          <cell r="I8">
            <v>312432</v>
          </cell>
          <cell r="J8">
            <v>90.58</v>
          </cell>
          <cell r="K8">
            <v>312501</v>
          </cell>
          <cell r="M8" t="str">
            <v>Duvha</v>
          </cell>
          <cell r="N8" t="e">
            <v>#REF!</v>
          </cell>
          <cell r="O8">
            <v>77.369600957145778</v>
          </cell>
          <cell r="P8">
            <v>76.739643749762294</v>
          </cell>
          <cell r="Q8">
            <v>76.40576927330973</v>
          </cell>
          <cell r="R8">
            <v>79.980874157851446</v>
          </cell>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A9" t="str">
            <v>Hendrina</v>
          </cell>
          <cell r="B9">
            <v>89.87674028536739</v>
          </cell>
          <cell r="C9">
            <v>170765.80654219803</v>
          </cell>
          <cell r="D9">
            <v>89.308356164383554</v>
          </cell>
          <cell r="E9">
            <v>169685.87671232875</v>
          </cell>
          <cell r="F9">
            <v>89.53054794520547</v>
          </cell>
          <cell r="G9">
            <v>170108.0410958904</v>
          </cell>
          <cell r="H9">
            <v>92.357260273972599</v>
          </cell>
          <cell r="I9">
            <v>175478.79452054793</v>
          </cell>
          <cell r="J9">
            <v>90.675846994535519</v>
          </cell>
          <cell r="K9">
            <v>172284.10928961748</v>
          </cell>
          <cell r="M9" t="str">
            <v>Hendrina</v>
          </cell>
          <cell r="N9" t="e">
            <v>#REF!</v>
          </cell>
          <cell r="O9">
            <v>86.127154658232755</v>
          </cell>
          <cell r="P9">
            <v>85.895064864666168</v>
          </cell>
          <cell r="Q9">
            <v>86.494854827824867</v>
          </cell>
          <cell r="R9">
            <v>84.686760210602927</v>
          </cell>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A10" t="str">
            <v>Kendal</v>
          </cell>
          <cell r="B10">
            <v>92.64626593806922</v>
          </cell>
          <cell r="C10">
            <v>355761.66120218579</v>
          </cell>
          <cell r="D10">
            <v>92.6337899543379</v>
          </cell>
          <cell r="E10">
            <v>355713.75342465751</v>
          </cell>
          <cell r="F10">
            <v>93.18173515981735</v>
          </cell>
          <cell r="G10">
            <v>357817.8630136986</v>
          </cell>
          <cell r="H10">
            <v>93.18173515981735</v>
          </cell>
          <cell r="I10">
            <v>357817.8630136986</v>
          </cell>
          <cell r="J10">
            <v>93.192714025500905</v>
          </cell>
          <cell r="K10">
            <v>357860.02185792348</v>
          </cell>
          <cell r="M10" t="str">
            <v>Kendal</v>
          </cell>
          <cell r="N10" t="e">
            <v>#REF!</v>
          </cell>
          <cell r="O10">
            <v>79.715036383180149</v>
          </cell>
          <cell r="P10">
            <v>84.446588011251961</v>
          </cell>
          <cell r="Q10">
            <v>91.166506589306806</v>
          </cell>
          <cell r="R10">
            <v>90.372297564269431</v>
          </cell>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A11" t="str">
            <v>Kriel</v>
          </cell>
          <cell r="B11">
            <v>90.099817850637521</v>
          </cell>
          <cell r="C11">
            <v>256784.48087431694</v>
          </cell>
          <cell r="D11">
            <v>90.066210045662103</v>
          </cell>
          <cell r="E11">
            <v>256688.69863013699</v>
          </cell>
          <cell r="F11">
            <v>90.566210045662103</v>
          </cell>
          <cell r="G11">
            <v>258113.69863013699</v>
          </cell>
          <cell r="H11">
            <v>91.844748858447488</v>
          </cell>
          <cell r="I11">
            <v>261757.53424657535</v>
          </cell>
          <cell r="J11">
            <v>88.818579234972674</v>
          </cell>
          <cell r="K11">
            <v>253132.95081967211</v>
          </cell>
          <cell r="M11" t="str">
            <v>Kriel</v>
          </cell>
          <cell r="N11" t="e">
            <v>#REF!</v>
          </cell>
          <cell r="O11">
            <v>58.521147201752825</v>
          </cell>
          <cell r="P11">
            <v>60.082015731615279</v>
          </cell>
          <cell r="Q11">
            <v>59.410373093844242</v>
          </cell>
          <cell r="R11">
            <v>54.829192148161219</v>
          </cell>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A12" t="str">
            <v>Lethabo</v>
          </cell>
          <cell r="B12">
            <v>89.524772313296907</v>
          </cell>
          <cell r="C12">
            <v>318529.13989071042</v>
          </cell>
          <cell r="D12">
            <v>91.305479452054783</v>
          </cell>
          <cell r="E12">
            <v>324864.89589041093</v>
          </cell>
          <cell r="F12">
            <v>91.185844748858443</v>
          </cell>
          <cell r="G12">
            <v>324439.23561643832</v>
          </cell>
          <cell r="H12">
            <v>91.825114155251143</v>
          </cell>
          <cell r="I12">
            <v>326713.75616438355</v>
          </cell>
          <cell r="J12">
            <v>91.856102003642988</v>
          </cell>
          <cell r="K12">
            <v>326824.01092896174</v>
          </cell>
          <cell r="M12" t="str">
            <v>Lethabo</v>
          </cell>
          <cell r="N12" t="e">
            <v>#REF!</v>
          </cell>
          <cell r="O12">
            <v>79.890139450470627</v>
          </cell>
          <cell r="P12">
            <v>79.695932944499859</v>
          </cell>
          <cell r="Q12">
            <v>79.997531279562537</v>
          </cell>
          <cell r="R12">
            <v>82.294064564755089</v>
          </cell>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A13" t="str">
            <v>Matimba</v>
          </cell>
          <cell r="B13">
            <v>89.537340619307827</v>
          </cell>
          <cell r="C13">
            <v>330392.78688524588</v>
          </cell>
          <cell r="D13">
            <v>90.803652968036531</v>
          </cell>
          <cell r="E13">
            <v>335065.47945205477</v>
          </cell>
          <cell r="F13">
            <v>89.525114155251146</v>
          </cell>
          <cell r="G13">
            <v>330347.67123287672</v>
          </cell>
          <cell r="H13">
            <v>89.525114155251146</v>
          </cell>
          <cell r="I13">
            <v>330347.67123287672</v>
          </cell>
          <cell r="J13">
            <v>89.537340619307827</v>
          </cell>
          <cell r="K13">
            <v>330392.78688524588</v>
          </cell>
          <cell r="M13" t="str">
            <v>Matimba</v>
          </cell>
          <cell r="N13" t="e">
            <v>#REF!</v>
          </cell>
          <cell r="O13">
            <v>80.444293653653929</v>
          </cell>
          <cell r="P13">
            <v>82.32840619831363</v>
          </cell>
          <cell r="Q13">
            <v>84.450890334596124</v>
          </cell>
          <cell r="R13">
            <v>85.239349467492872</v>
          </cell>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A14" t="str">
            <v>Matla</v>
          </cell>
          <cell r="B14">
            <v>91.752459016393445</v>
          </cell>
          <cell r="C14">
            <v>316545.98360655736</v>
          </cell>
          <cell r="D14">
            <v>93.744748858447494</v>
          </cell>
          <cell r="E14">
            <v>323419.38356164383</v>
          </cell>
          <cell r="F14">
            <v>93.744748858447494</v>
          </cell>
          <cell r="G14">
            <v>323419.38356164383</v>
          </cell>
          <cell r="H14">
            <v>92.466210045662109</v>
          </cell>
          <cell r="I14">
            <v>319008.42465753428</v>
          </cell>
          <cell r="J14">
            <v>93.756102003642994</v>
          </cell>
          <cell r="K14">
            <v>323458.55191256833</v>
          </cell>
          <cell r="M14" t="str">
            <v>Matla</v>
          </cell>
          <cell r="N14" t="e">
            <v>#REF!</v>
          </cell>
          <cell r="O14">
            <v>91.014448348827528</v>
          </cell>
          <cell r="P14">
            <v>90.344338503823565</v>
          </cell>
          <cell r="Q14">
            <v>90.870463862568982</v>
          </cell>
          <cell r="R14">
            <v>92.835469268392927</v>
          </cell>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A15" t="str">
            <v xml:space="preserve">Majuba </v>
          </cell>
          <cell r="B15">
            <v>94.604759261058447</v>
          </cell>
          <cell r="C15">
            <v>300275.50589459954</v>
          </cell>
          <cell r="D15">
            <v>92.568936264334567</v>
          </cell>
          <cell r="E15">
            <v>355742.42206383776</v>
          </cell>
          <cell r="F15">
            <v>94.207510292686578</v>
          </cell>
          <cell r="G15">
            <v>362039.46205479454</v>
          </cell>
          <cell r="H15">
            <v>92.105861965715988</v>
          </cell>
          <cell r="I15">
            <v>353962.82753424655</v>
          </cell>
          <cell r="J15">
            <v>93.335331302815845</v>
          </cell>
          <cell r="K15">
            <v>358687.6781967213</v>
          </cell>
          <cell r="M15" t="str">
            <v xml:space="preserve">Majuba </v>
          </cell>
          <cell r="N15" t="e">
            <v>#REF!</v>
          </cell>
          <cell r="O15">
            <v>7.0082401255896585</v>
          </cell>
          <cell r="P15">
            <v>11.587446036958012</v>
          </cell>
          <cell r="Q15">
            <v>12.74174277148815</v>
          </cell>
          <cell r="R15">
            <v>13.706518866155742</v>
          </cell>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A16" t="str">
            <v>Tutuka</v>
          </cell>
          <cell r="B16">
            <v>91.64763205828541</v>
          </cell>
          <cell r="C16">
            <v>321683.18852458178</v>
          </cell>
          <cell r="D16">
            <v>90.214840182646014</v>
          </cell>
          <cell r="E16">
            <v>316654.08904108749</v>
          </cell>
          <cell r="F16">
            <v>91.539041095888024</v>
          </cell>
          <cell r="G16">
            <v>321302.03424656694</v>
          </cell>
          <cell r="H16">
            <v>92.039041095888024</v>
          </cell>
          <cell r="I16">
            <v>323057.03424656694</v>
          </cell>
          <cell r="J16">
            <v>90.69043715846756</v>
          </cell>
          <cell r="K16">
            <v>318323.43442622112</v>
          </cell>
          <cell r="M16" t="str">
            <v>Tutuka</v>
          </cell>
          <cell r="N16" t="e">
            <v>#REF!</v>
          </cell>
          <cell r="O16">
            <v>34.110744834402468</v>
          </cell>
          <cell r="P16">
            <v>28.096737779571523</v>
          </cell>
          <cell r="Q16">
            <v>32.143755035652688</v>
          </cell>
          <cell r="R16">
            <v>45.13813424564637</v>
          </cell>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A17" t="str">
            <v>Average Thermal</v>
          </cell>
          <cell r="B17">
            <v>91.204603318909491</v>
          </cell>
          <cell r="C17">
            <v>2864006.953420396</v>
          </cell>
          <cell r="D17">
            <v>91.258364216150355</v>
          </cell>
          <cell r="E17">
            <v>2926746.9987761579</v>
          </cell>
          <cell r="F17">
            <v>91.748623038010848</v>
          </cell>
          <cell r="G17">
            <v>2942470.089452046</v>
          </cell>
          <cell r="H17">
            <v>91.759380924088106</v>
          </cell>
          <cell r="I17">
            <v>2942815.1056164298</v>
          </cell>
          <cell r="J17">
            <v>91.498130532784501</v>
          </cell>
          <cell r="K17">
            <v>2934436.5443169316</v>
          </cell>
          <cell r="M17" t="str">
            <v>Koeberg</v>
          </cell>
          <cell r="N17" t="e">
            <v>#REF!</v>
          </cell>
          <cell r="O17">
            <v>99.989992098092529</v>
          </cell>
          <cell r="P17">
            <v>99.989993586603703</v>
          </cell>
          <cell r="Q17">
            <v>99.994544536549469</v>
          </cell>
          <cell r="R17">
            <v>98.871595844762695</v>
          </cell>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A18" t="str">
            <v>Koeberg</v>
          </cell>
          <cell r="B18">
            <v>85.149736955178184</v>
          </cell>
          <cell r="C18">
            <v>156675.51599752787</v>
          </cell>
          <cell r="D18">
            <v>79.662279456916025</v>
          </cell>
          <cell r="E18">
            <v>146578.59420072549</v>
          </cell>
          <cell r="F18">
            <v>83.517808219178079</v>
          </cell>
          <cell r="G18">
            <v>153672.76712328766</v>
          </cell>
          <cell r="H18">
            <v>84.158904109589045</v>
          </cell>
          <cell r="I18">
            <v>154852.38356164383</v>
          </cell>
          <cell r="J18">
            <v>88.818579234972674</v>
          </cell>
          <cell r="K18">
            <v>163426.18579234972</v>
          </cell>
          <cell r="M18" t="str">
            <v>Gariep</v>
          </cell>
          <cell r="N18" t="e">
            <v>#REF!</v>
          </cell>
          <cell r="O18">
            <v>10.242584363634233</v>
          </cell>
          <cell r="P18">
            <v>10.296685291071098</v>
          </cell>
          <cell r="Q18">
            <v>8.0744833407259691</v>
          </cell>
          <cell r="R18">
            <v>8.0508614063888793</v>
          </cell>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19" t="str">
            <v>Average Base Load</v>
          </cell>
          <cell r="B19">
            <v>90.869456393054691</v>
          </cell>
          <cell r="C19">
            <v>3020682.4694179241</v>
          </cell>
          <cell r="D19">
            <v>90.629164370761217</v>
          </cell>
          <cell r="E19">
            <v>3073325.5929768835</v>
          </cell>
          <cell r="F19">
            <v>91.302021661859968</v>
          </cell>
          <cell r="G19">
            <v>3096142.8565753335</v>
          </cell>
          <cell r="H19">
            <v>91.346981486186593</v>
          </cell>
          <cell r="I19">
            <v>3097667.4891780736</v>
          </cell>
          <cell r="J19">
            <v>91.352738937491708</v>
          </cell>
          <cell r="K19">
            <v>3097862.7301092814</v>
          </cell>
          <cell r="M19" t="str">
            <v>Vanderkloof</v>
          </cell>
          <cell r="N19" t="e">
            <v>#REF!</v>
          </cell>
          <cell r="O19">
            <v>10.836916079714522</v>
          </cell>
          <cell r="P19">
            <v>10.464729675103033</v>
          </cell>
          <cell r="Q19">
            <v>5.2323648375515166</v>
          </cell>
          <cell r="R19">
            <v>5.293367501264358</v>
          </cell>
          <cell r="AD19" t="str">
            <v>Calorific Value - Fuel Procurement (Kumi Chetty)</v>
          </cell>
          <cell r="AK19" t="str">
            <v>Majuba **</v>
          </cell>
          <cell r="AL19">
            <v>494</v>
          </cell>
          <cell r="AM19">
            <v>390</v>
          </cell>
          <cell r="AN19">
            <v>0</v>
          </cell>
          <cell r="AO19">
            <v>0</v>
          </cell>
          <cell r="DD19" t="str">
            <v>Note :</v>
          </cell>
        </row>
        <row r="20">
          <cell r="A20" t="str">
            <v>Gariep</v>
          </cell>
          <cell r="B20">
            <v>95.71</v>
          </cell>
          <cell r="C20">
            <v>34455.599999999999</v>
          </cell>
          <cell r="D20">
            <v>95.16</v>
          </cell>
          <cell r="E20">
            <v>34257.599999999999</v>
          </cell>
          <cell r="F20">
            <v>95.43</v>
          </cell>
          <cell r="G20">
            <v>34354.800000000003</v>
          </cell>
          <cell r="H20">
            <v>95.71</v>
          </cell>
          <cell r="I20">
            <v>34455.599999999999</v>
          </cell>
          <cell r="J20">
            <v>95.23</v>
          </cell>
          <cell r="K20">
            <v>34282.800000000003</v>
          </cell>
          <cell r="M20" t="str">
            <v>Drakensberg</v>
          </cell>
          <cell r="N20" t="e">
            <v>#REF!</v>
          </cell>
          <cell r="O20">
            <v>18.675601074220573</v>
          </cell>
          <cell r="P20">
            <v>18.260782231041507</v>
          </cell>
          <cell r="Q20">
            <v>17.920370832207084</v>
          </cell>
          <cell r="R20">
            <v>17.719474145072294</v>
          </cell>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A21" t="str">
            <v>Vanderkloof</v>
          </cell>
          <cell r="B21">
            <v>91.92</v>
          </cell>
          <cell r="C21">
            <v>22060.799999999999</v>
          </cell>
          <cell r="D21">
            <v>95.45</v>
          </cell>
          <cell r="E21">
            <v>22908</v>
          </cell>
          <cell r="F21">
            <v>95.45</v>
          </cell>
          <cell r="G21">
            <v>22908</v>
          </cell>
          <cell r="H21">
            <v>94.35</v>
          </cell>
          <cell r="I21">
            <v>22644</v>
          </cell>
          <cell r="J21">
            <v>95.59</v>
          </cell>
          <cell r="K21">
            <v>22941.600000000002</v>
          </cell>
          <cell r="M21" t="str">
            <v>Palmiet</v>
          </cell>
          <cell r="N21" t="e">
            <v>#REF!</v>
          </cell>
          <cell r="O21">
            <v>17.615538201197065</v>
          </cell>
          <cell r="P21">
            <v>18.3372110422284</v>
          </cell>
          <cell r="Q21">
            <v>19.389975847846085</v>
          </cell>
          <cell r="R21">
            <v>18.390385212364812</v>
          </cell>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22" t="str">
            <v>Drakensberg</v>
          </cell>
          <cell r="B22">
            <v>87.78</v>
          </cell>
          <cell r="C22">
            <v>87780</v>
          </cell>
          <cell r="D22">
            <v>90.02</v>
          </cell>
          <cell r="E22">
            <v>90020</v>
          </cell>
          <cell r="F22">
            <v>91.73</v>
          </cell>
          <cell r="G22">
            <v>91730</v>
          </cell>
          <cell r="H22">
            <v>92.77</v>
          </cell>
          <cell r="I22">
            <v>92770</v>
          </cell>
          <cell r="J22">
            <v>92.09</v>
          </cell>
          <cell r="K22">
            <v>92090</v>
          </cell>
          <cell r="M22" t="str">
            <v>Weighted Avg.</v>
          </cell>
          <cell r="N22" t="e">
            <v>#REF!</v>
          </cell>
          <cell r="O22">
            <v>59.851271418392493</v>
          </cell>
          <cell r="P22">
            <v>64.760640565365577</v>
          </cell>
          <cell r="Q22">
            <v>66.398545172665919</v>
          </cell>
          <cell r="R22">
            <v>68.016439675176443</v>
          </cell>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A23" t="str">
            <v>Palmiet</v>
          </cell>
          <cell r="B23">
            <v>96.94</v>
          </cell>
          <cell r="C23">
            <v>38776</v>
          </cell>
          <cell r="D23">
            <v>93.38</v>
          </cell>
          <cell r="E23">
            <v>37352</v>
          </cell>
          <cell r="F23">
            <v>88.31</v>
          </cell>
          <cell r="G23">
            <v>35324</v>
          </cell>
          <cell r="H23">
            <v>93.11</v>
          </cell>
          <cell r="I23">
            <v>37244</v>
          </cell>
          <cell r="J23">
            <v>96.81</v>
          </cell>
          <cell r="K23">
            <v>38724</v>
          </cell>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A24" t="str">
            <v>Average Hydro</v>
          </cell>
          <cell r="B24">
            <v>91.536199999999994</v>
          </cell>
          <cell r="C24">
            <v>183072.4</v>
          </cell>
          <cell r="D24">
            <v>92.268799999999999</v>
          </cell>
          <cell r="E24">
            <v>184537.60000000001</v>
          </cell>
          <cell r="F24">
            <v>92.1584</v>
          </cell>
          <cell r="G24">
            <v>184316.79999999999</v>
          </cell>
          <cell r="H24">
            <v>93.55680000000001</v>
          </cell>
          <cell r="I24">
            <v>187113.60000000001</v>
          </cell>
          <cell r="J24">
            <v>94.019200000000012</v>
          </cell>
          <cell r="K24">
            <v>188038.40000000002</v>
          </cell>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A25" t="str">
            <v>Average System</v>
          </cell>
          <cell r="B25">
            <v>90.907294404912435</v>
          </cell>
          <cell r="C25">
            <v>3203754.869417924</v>
          </cell>
          <cell r="D25">
            <v>90.720480994037587</v>
          </cell>
          <cell r="E25">
            <v>3257863.1929768836</v>
          </cell>
          <cell r="F25">
            <v>91.349716147568529</v>
          </cell>
          <cell r="G25">
            <v>3280459.6565753333</v>
          </cell>
          <cell r="H25">
            <v>91.470053442624092</v>
          </cell>
          <cell r="I25">
            <v>3284781.0891780737</v>
          </cell>
          <cell r="J25">
            <v>91.501242797729972</v>
          </cell>
          <cell r="K25">
            <v>3285901.1301092813</v>
          </cell>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uildRateConstraints"/>
      <sheetName val="TransDum"/>
      <sheetName val="BatteryConstraint"/>
      <sheetName val="FIRMConstraint"/>
      <sheetName val="WindPVConstraint"/>
      <sheetName val="WindThermalConstraint"/>
      <sheetName val="GrowthConstraintsSupply"/>
      <sheetName val="GrowthConstraintsDistribution"/>
      <sheetName val="GrowthConstraintsTransport"/>
      <sheetName val="Scen_UC_ELC"/>
    </sheetNames>
    <definedNames>
      <definedName name="LOCAL_DATE_SEPARATOR"/>
      <definedName name="LOCAL_DAY_FORMAT"/>
      <definedName name="LOCAL_HOUR_FORMAT"/>
      <definedName name="LOCAL_MINUTE_FORMAT"/>
      <definedName name="LOCAL_MONTH_FORMAT"/>
      <definedName name="LOCAL_SECOND_FORMAT"/>
      <definedName name="LOCAL_TIME_SEPARATOR"/>
      <definedName name="LOCAL_YEAR_FORMAT"/>
    </defined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persons/person.xml><?xml version="1.0" encoding="utf-8"?>
<personList xmlns="http://schemas.microsoft.com/office/spreadsheetml/2018/threadedcomments" xmlns:x="http://schemas.openxmlformats.org/spreadsheetml/2006/main">
  <person displayName="Bruno" id="{4D11937A-D1C8-44EA-BAFF-56A803268295}" userId="Bruno" providerId="None"/>
  <person displayName="Bruno Merven" id="{C32653E5-43C3-4829-B5E4-0A2FE24BC648}" userId="Bruno Merven" providerId="None"/>
  <person displayName="bruno merven" id="{308666E5-D28E-418E-B7E7-F6D9F22CA4C0}" userId="144eb91ed0ec6402" providerId="Windows Live"/>
  <person displayName="Bruno Merven" id="{0112F04A-8356-4CE9-A34F-E1C1EF048FE4}" userId="S::01405439@wf.uct.ac.za::c7f06137-2c3b-4c5c-8f38-fe1abbc96860" providerId="AD"/>
  <person displayName="Bryce Mc Call" id="{77F5CF04-6F4E-4414-8F8F-8241DF5EC416}" userId="S::01425453@wf.uct.ac.za::bc1cdcf6-0dc9-4f2f-a1be-e4f2dea555d3"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3" dT="2020-11-06T10:30:43.50" personId="{308666E5-D28E-418E-B7E7-F6D9F22CA4C0}" id="{9BB4A2A1-4764-4CBE-9226-2127C6FE5D5B}">
    <text>This is needed when auxiliary commodities are included</text>
  </threadedComment>
  <threadedComment ref="L3" dT="2020-06-26T10:15:11.67" personId="{308666E5-D28E-418E-B7E7-F6D9F22CA4C0}" id="{F4D91DFD-3C01-4870-B3C2-EAC8F00B521F}">
    <text>scaled cost of new plant to match 2012 SAM. The cost is required in order to scale the capital intensity of the electricity sector in the CGE over time. This will have to be reviewed when we move to the 2017 and later SAMs.</text>
  </threadedComment>
  <threadedComment ref="M3" dT="2020-06-25T16:18:25.56" personId="{308666E5-D28E-418E-B7E7-F6D9F22CA4C0}" id="{263E3071-D266-4F17-B864-9DCF7BA77DC2}">
    <text>Since Resid is fixed, and life-extensions exogenous, Life here is only used to calculate the annualised investment cost.</text>
  </threadedComment>
  <threadedComment ref="O3" dT="2020-07-29T08:32:56.45" personId="{308666E5-D28E-418E-B7E7-F6D9F22CA4C0}" id="{802B7326-2ABF-416B-A8D6-0F25ACEC14E7}">
    <text>This doesn't seem to be working in current version.</text>
  </threadedComment>
  <threadedComment ref="AI4" dT="2020-06-29T15:25:24.51" personId="{308666E5-D28E-418E-B7E7-F6D9F22CA4C0}" id="{E296C19E-5E99-4F45-8B5B-66B4133899E4}">
    <text>set to 40% except where performance is currently lower.</text>
  </threadedComment>
  <threadedComment ref="AL9" dT="2020-06-23T13:50:21.03" personId="{308666E5-D28E-418E-B7E7-F6D9F22CA4C0}" id="{FB7F9219-AD31-463D-984A-FB6CD9261B67}">
    <text>As specified by Eskom</text>
  </threadedComment>
  <threadedComment ref="AM9" dT="2020-06-23T13:51:31.92" personId="{308666E5-D28E-418E-B7E7-F6D9F22CA4C0}" id="{C041B920-FA11-4B50-A8F8-76DC36C18D8E}">
    <text>other emissions from IPCC, no FGD assumed except on Kusile. Emissions change for retrofit specified in retrofit scenario.</text>
  </threadedComment>
  <threadedComment ref="H23" dT="2020-06-23T09:11:25.72" personId="{308666E5-D28E-418E-B7E7-F6D9F22CA4C0}" id="{B4857558-F841-4154-A3FC-5A8369F4AD34}">
    <text>from NIRP3 table</text>
  </threadedComment>
  <threadedComment ref="AL23" dT="2020-06-25T12:04:06.52" personId="{308666E5-D28E-418E-B7E7-F6D9F22CA4C0}" id="{EEA2BE99-6A97-49F1-B4D8-24FF6113B417}">
    <text>Emissions accounted for in fuel supply</text>
  </threadedComment>
  <threadedComment ref="AL24" dT="2023-09-26T10:14:28.89" personId="{0112F04A-8356-4CE9-A34F-E1C1EF048FE4}" id="{FC3FF055-25BC-4889-AEFB-3BD1FCE4CCB8}">
    <text>UPSCLE doesn't automatically get associated with emissions (it's treated as an exception).</text>
  </threadedComment>
  <threadedComment ref="R26" dT="2020-06-25T12:02:46.38" personId="{308666E5-D28E-418E-B7E7-F6D9F22CA4C0}" id="{C6BAC441-D0BC-4E9F-A8CD-16E0038D0586}">
    <text>IRP 2019 Table 6 (Gourikwa)</text>
  </threadedComment>
  <threadedComment ref="AF26" dT="2020-06-25T12:02:46.38" personId="{308666E5-D28E-418E-B7E7-F6D9F22CA4C0}" id="{5DAD8B72-22C7-4B56-B170-AEAC8EDD3369}">
    <text>IRP 2019 Table 6 (Gourikwa)</text>
  </threadedComment>
  <threadedComment ref="AI26" dT="2020-11-01T12:12:18.99" personId="{C32653E5-43C3-4829-B5E4-0A2FE24BC648}" id="{7865C21B-B1C4-49EE-B2C2-D45F544C01A9}">
    <text>assumption</text>
  </threadedComment>
  <threadedComment ref="AT26" dT="2020-06-25T13:05:35.51" personId="{308666E5-D28E-418E-B7E7-F6D9F22CA4C0}" id="{AE24E85F-755A-4A50-9D9C-389428F5E443}">
    <text>Acacia (171), Atlantis(1323), Mossel Bay (Gouwrika 735), Port Rex (171)</text>
  </threadedComment>
  <threadedComment ref="AT27" dT="2020-06-25T12:00:50.12" personId="{308666E5-D28E-418E-B7E7-F6D9F22CA4C0}" id="{86F7BDE8-0691-4EB7-B613-E09DBE04CB64}">
    <text>Gariep (360), Vanderkloof (240),mini hydro (65),</text>
  </threadedComment>
  <threadedComment ref="J28" dT="2020-03-03T08:19:37.94" personId="{308666E5-D28E-418E-B7E7-F6D9F22CA4C0}" id="{F280DE25-8357-4AF8-BD84-318E53AEE668}">
    <text>from Eskom's Revenue Application, orifinal unit in R/kWh.</text>
  </threadedComment>
  <threadedComment ref="U29" dT="2020-06-25T11:58:21.65" personId="{308666E5-D28E-418E-B7E7-F6D9F22CA4C0}" id="{F2B23BB2-C4D8-469C-8C42-4DD57AADAFD2}">
    <text>From IRP2019 Table 6</text>
  </threadedComment>
</ThreadedComments>
</file>

<file path=xl/threadedComments/threadedComment2.xml><?xml version="1.0" encoding="utf-8"?>
<ThreadedComments xmlns="http://schemas.microsoft.com/office/spreadsheetml/2018/threadedcomments" xmlns:x="http://schemas.openxmlformats.org/spreadsheetml/2006/main">
  <threadedComment ref="H3" dT="2020-11-06T10:30:43.50" personId="{308666E5-D28E-418E-B7E7-F6D9F22CA4C0}" id="{28CCC92B-4A67-4658-B042-8D4B6C457D6F}">
    <text>This is needed when auxiliary commodities are included</text>
  </threadedComment>
  <threadedComment ref="J3" dT="2020-06-30T12:56:41.39" personId="{308666E5-D28E-418E-B7E7-F6D9F22CA4C0}" id="{BFA9E0BC-33B8-440F-A10B-D7332B4CC8EF}">
    <text>Mostly taken from IRP 2019</text>
  </threadedComment>
  <threadedComment ref="M3" dT="2020-06-29T15:36:13.50" personId="{308666E5-D28E-418E-B7E7-F6D9F22CA4C0}" id="{A3D4EE97-D556-423C-A0DB-1389CD7D1C2B}">
    <text>-ve lead times means that capacity will show +ve the year NCAP is +ve</text>
  </threadedComment>
  <threadedComment ref="N3" dT="2020-06-29T13:43:05.81" personId="{308666E5-D28E-418E-B7E7-F6D9F22CA4C0}" id="{5875437B-1BED-4E3D-B355-05389A45B310}">
    <text>Taken from EPRI 2017, except if stated otherwise</text>
  </threadedComment>
  <threadedComment ref="N3" dT="2023-10-19T16:54:41.92" personId="{77F5CF04-6F4E-4414-8F8F-8241DF5EC416}" id="{CE73EDBF-804A-438A-A9BA-621D494067D8}" parentId="{5875437B-1BED-4E3D-B355-05389A45B310}">
    <text>Changed all new coal life to 50 according to eskom decomm schedule</text>
  </threadedComment>
  <threadedComment ref="G4" dT="2020-06-29T08:38:17.24" personId="{308666E5-D28E-418E-B7E7-F6D9F22CA4C0}" id="{79232F3A-E7D2-4723-B960-4161D555F8D0}">
    <text>Mostly taken from EPRI 2017</text>
  </threadedComment>
  <threadedComment ref="M9" dT="2023-10-19T19:03:23.56" personId="{0112F04A-8356-4CE9-A34F-E1C1EF048FE4}" id="{A53A58B7-46C7-4A17-BFBA-641E4846E66F}">
    <text>Spreading the investment over a longer period as per what happened, also to limit investment requirements for CGE</text>
  </threadedComment>
  <threadedComment ref="U9" dT="2021-09-30T15:09:24.57" personId="{C32653E5-43C3-4829-B5E4-0A2FE24BC648}" id="{9BD4E209-CE38-457B-8126-EA86D28597B9}">
    <text>Assumption, that could be contested.</text>
  </threadedComment>
  <threadedComment ref="AM9" dT="2021-05-18T15:35:11.18" personId="{C32653E5-43C3-4829-B5E4-0A2FE24BC648}" id="{AB896466-B673-4908-885A-B41BA3252BAE}">
    <text>EPRI 2017</text>
  </threadedComment>
  <threadedComment ref="H10" dT="2021-05-18T15:30:06.27" personId="{C32653E5-43C3-4829-B5E4-0A2FE24BC648}" id="{1FDEE2BC-813D-4B86-893B-E0A3C8B29BFF}">
    <text>from EPRI 2017</text>
  </threadedComment>
  <threadedComment ref="K10" dT="2020-06-29T14:18:22.92" personId="{308666E5-D28E-418E-B7E7-F6D9F22CA4C0}" id="{821368DA-46B3-405B-B5DB-3E040B034C0A}">
    <text>based on Meridian LCOE workbook, which uses actual expenditure</text>
  </threadedComment>
  <threadedComment ref="K10" dT="2021-05-26T18:19:38.63" personId="{C32653E5-43C3-4829-B5E4-0A2FE24BC648}" id="{A6C0782F-C3EE-4357-B638-4B17105C5E72}" parentId="{821368DA-46B3-405B-B5DB-3E040B034C0A}">
    <text>Changed from 845 to the same as existing fleet.</text>
  </threadedComment>
  <threadedComment ref="L10" dT="2020-06-29T13:56:32.57" personId="{308666E5-D28E-418E-B7E7-F6D9F22CA4C0}" id="{6566F2C6-EBA9-49EB-A56F-31597CCB7E34}">
    <text>based on Meridian LCOE workbook, which uses actual expenditure</text>
  </threadedComment>
  <threadedComment ref="AM10" dT="2020-06-23T13:40:50.05" personId="{308666E5-D28E-418E-B7E7-F6D9F22CA4C0}" id="{17E2CE06-023D-419F-B261-9DC5D1728B4A}">
    <text>https://www.ge.com/news/press-releases/eskoms-kusile-wet-flue-gas-desulphurization-plant-achieves-93-removal-efficiency</text>
  </threadedComment>
  <threadedComment ref="AN10" dT="2020-06-23T13:43:26.93" personId="{308666E5-D28E-418E-B7E7-F6D9F22CA4C0}" id="{7A35F23A-FACE-406F-AFEC-C2B7AE61685B}">
    <text>not sure how those are affected by the FGD</text>
  </threadedComment>
  <threadedComment ref="BG10" dT="2020-06-30T08:09:40.29" personId="{308666E5-D28E-418E-B7E7-F6D9F22CA4C0}" id="{CEB9C338-6EB1-45E0-AE40-72173E378427}">
    <text>Eskom Medium Adequacy Report 2019</text>
  </threadedComment>
  <threadedComment ref="BG10" dT="2021-05-26T18:23:18.82" personId="{C32653E5-43C3-4829-B5E4-0A2FE24BC648}" id="{69304AE9-D555-48D3-ACE5-C43484337DD2}" parentId="{CEB9C338-6EB1-45E0-AE40-72173E378427}">
    <text>adjusted again using Medium adequacy report from 2020</text>
  </threadedComment>
  <threadedComment ref="D11" dT="2021-04-19T13:42:30.76" personId="{C32653E5-43C3-4829-B5E4-0A2FE24BC648}" id="{70D458D1-4E32-4AA6-948C-CAE28C2900CD}">
    <text>Assumes new plants will get similar contract to Medupi</text>
  </threadedComment>
  <threadedComment ref="H11" dT="2020-06-29T10:12:59.84" personId="{308666E5-D28E-418E-B7E7-F6D9F22CA4C0}" id="{6B7A4A15-CFFC-4E55-9DE9-AA61BCB6D686}">
    <text>assuming HELE with dry cooling</text>
  </threadedComment>
  <threadedComment ref="H12" dT="2021-04-19T14:22:19.47" personId="{C32653E5-43C3-4829-B5E4-0A2FE24BC648}" id="{80E17520-9E72-4E8A-A05C-4BDD819B57BD}">
    <text>assuming HELE with dry cooling with same CCS penalty as PF (as per EPRI)</text>
  </threadedComment>
  <threadedComment ref="L13" dT="2020-06-29T10:32:02.02" personId="{308666E5-D28E-418E-B7E7-F6D9F22CA4C0}" id="{50E1B3CC-E7F8-4756-B8F1-F2A55DEE3413}">
    <text>project cost adjusted</text>
  </threadedComment>
  <threadedComment ref="L14" dT="2020-06-29T10:31:15.95" personId="{308666E5-D28E-418E-B7E7-F6D9F22CA4C0}" id="{D1460FF5-43B7-4027-B927-36AE83D0D10C}">
    <text>EPRI adjusted for inflation and 10% ODC</text>
  </threadedComment>
  <threadedComment ref="H15" dT="2021-05-13T13:33:33.95" personId="{C32653E5-43C3-4829-B5E4-0A2FE24BC648}" id="{7856863C-AD0E-4552-86A3-DAE931CE4CE1}">
    <text>Burton Ireland 2018.</text>
  </threadedComment>
  <threadedComment ref="L15" dT="2021-07-27T16:07:06.22" personId="{C32653E5-43C3-4829-B5E4-0A2FE24BC648}" id="{F0FD37F5-0DC2-4BC3-B532-6EB32807C73F}">
    <text>IRP 2019 + 10% ODC cost (compares well to Coal IPP study costs).</text>
  </threadedComment>
  <threadedComment ref="L16" dT="2020-06-29T10:31:15.95" personId="{308666E5-D28E-418E-B7E7-F6D9F22CA4C0}" id="{6AE0CE63-7BA1-4C0A-8ACF-0A39B05BDB4F}">
    <text>IRP 2019 + 10% ODC cost</text>
  </threadedComment>
  <threadedComment ref="M17" dT="2021-01-27T13:03:19.05" personId="{4D11937A-D1C8-44EA-BAFF-56A803268295}" id="{DF26B6BE-1508-4D0C-87C7-335CCFE6F371}">
    <text>EPRI 2017, figure 4-1, first and last year combined.</text>
  </threadedComment>
  <threadedComment ref="BH18" dT="2021-04-07T10:22:02.93" personId="{C32653E5-43C3-4829-B5E4-0A2FE24BC648}" id="{A0F8B7F6-A70E-4834-A845-111C475B4B8E}">
    <text>ACWA Redstone project delayed - see https://www.acwapower.com/en/projects/redstone-csp-ipp/</text>
  </threadedComment>
  <threadedComment ref="BG20" dT="2023-09-29T04:09:14.66" personId="{0112F04A-8356-4CE9-A34F-E1C1EF048FE4}" id="{41C4CE3C-0BD7-41CC-8751-9D979346D33C}">
    <text>NECOM v3.6</text>
  </threadedComment>
  <threadedComment ref="BG21" dT="2023-09-29T04:09:27.23" personId="{0112F04A-8356-4CE9-A34F-E1C1EF048FE4}" id="{82708746-1E5B-4D6F-BF30-71241C9253DC}">
    <text>NECOM v3.6</text>
  </threadedComment>
  <threadedComment ref="L22" dT="2020-06-29T14:15:45.24" personId="{308666E5-D28E-418E-B7E7-F6D9F22CA4C0}" id="{BB998947-1EB5-47FF-BB6F-DFB49C7AF078}">
    <text>2400$/kW from IRENA, 4$ billion for transmission (https://www.dailymaverick.co.za/article/2019-12-13-the-grand-inga-dam-project-poses-fiscal-risks-similar-to-the-controversial-arms-deal/#gsc.tab=0)</text>
  </threadedComment>
  <threadedComment ref="V22" dT="2020-06-29T15:26:53.43" personId="{308666E5-D28E-418E-B7E7-F6D9F22CA4C0}" id="{5D70DF5C-7E9C-4969-8A4F-A7AA3F2934C9}">
    <text>IRENA model</text>
  </threadedComment>
  <threadedComment ref="BG22" dT="2023-09-29T04:09:41.07" personId="{0112F04A-8356-4CE9-A34F-E1C1EF048FE4}" id="{7BACB255-6CEF-4225-9668-53C719A98255}">
    <text>NECOM v3.6</text>
  </threadedComment>
  <threadedComment ref="AJ26" dT="2021-09-08T09:09:47.64" personId="{C32653E5-43C3-4829-B5E4-0A2FE24BC648}" id="{922210DF-5E4F-4E4B-891B-58660EC70BC1}">
    <text>42 and 367 from EPRI 2017 table 9-1 KgCO2/MWh with and without CCS</text>
  </threadedComment>
  <threadedComment ref="E28" dT="2020-06-29T08:27:23.45" personId="{308666E5-D28E-418E-B7E7-F6D9F22CA4C0}" id="{D9B06297-94B2-45B1-ACD9-CE6F0905158A}">
    <text>Centralised status given based on NERSA2018 data.</text>
  </threadedComment>
  <threadedComment ref="K28" dT="2020-06-30T12:58:06.65" personId="{308666E5-D28E-418E-B7E7-F6D9F22CA4C0}" id="{FEBD0A36-0CA4-4766-8225-6DC41F693D29}">
    <text>from sugar study - Green Cape</text>
  </threadedComment>
  <threadedComment ref="L28" dT="2020-06-29T10:35:02.85" personId="{308666E5-D28E-418E-B7E7-F6D9F22CA4C0}" id="{F41503B7-4B4E-43CF-8259-59A9396185D5}">
    <text>based on sugar study - MSc Nagel</text>
  </threadedComment>
  <threadedComment ref="BG30" dT="2022-09-11T10:06:39.52" personId="{C32653E5-43C3-4829-B5E4-0A2FE24BC648}" id="{45135FA3-F7CF-4DED-8ED0-4139196F43A3}">
    <text>NECOM v3.6</text>
  </threadedComment>
  <threadedComment ref="L37" dT="2020-06-29T10:31:15.95" personId="{308666E5-D28E-418E-B7E7-F6D9F22CA4C0}" id="{4623E544-BCF7-4F09-A23B-8041F0217FE4}">
    <text>EPRI adjusted for inflation and 10% ODC</text>
  </threadedComment>
  <threadedComment ref="L38" dT="2020-06-29T10:31:15.95" personId="{308666E5-D28E-418E-B7E7-F6D9F22CA4C0}" id="{D709F018-B614-450C-88F8-A3E01A3881F9}">
    <text>EPRI adjusted for inflation and 10% ODC</text>
  </threadedComment>
  <threadedComment ref="J40" dT="2023-04-25T15:09:03.94" personId="{0112F04A-8356-4CE9-A34F-E1C1EF048FE4}" id="{32EC87D1-8D46-4968-96C8-E648CE357CC8}">
    <text>Roughly twice cost of OCGT</text>
  </threadedComment>
  <threadedComment ref="AT40" dT="2023-04-25T15:13:01.82" personId="{0112F04A-8356-4CE9-A34F-E1C1EF048FE4}" id="{9863EE6A-8012-4F45-BCFD-44BD47EF77C2}">
    <text>From historical dispatch data</text>
  </threadedComment>
  <threadedComment ref="J41" dT="2023-04-25T14:50:23.96" personId="{0112F04A-8356-4CE9-A34F-E1C1EF048FE4}" id="{BC21BE5F-A36B-45E4-9E1D-EAC47E99706B}">
    <text>Load shedding cost in 2019 adjusted to 2022 rands</text>
  </threadedComment>
</ThreadedComments>
</file>

<file path=xl/threadedComments/threadedComment3.xml><?xml version="1.0" encoding="utf-8"?>
<ThreadedComments xmlns="http://schemas.microsoft.com/office/spreadsheetml/2018/threadedcomments" xmlns:x="http://schemas.openxmlformats.org/spreadsheetml/2006/main">
  <threadedComment ref="P3" dT="2020-06-30T13:58:08.30" personId="{308666E5-D28E-418E-B7E7-F6D9F22CA4C0}" id="{1F54CCE8-6710-43CF-91F7-46C86C4B0BC1}">
    <text>Based on Work done by Greg on SATIM in 2018</text>
  </threadedComment>
  <threadedComment ref="L9" dT="2020-06-30T12:41:25.67" personId="{308666E5-D28E-418E-B7E7-F6D9F22CA4C0}" id="{EBB32ADC-7EC0-4A6F-9A05-AD69EC5F72F9}">
    <text>Learning from CSIR applied to IRP 2017 cost</text>
  </threadedComment>
  <threadedComment ref="N10" dT="2020-06-30T13:57:08.25" personId="{308666E5-D28E-418E-B7E7-F6D9F22CA4C0}" id="{BD6C9EB3-6E1E-4E55-BF06-B87540D1F46D}">
    <text>ratio used in IRP 2019</text>
  </threadedComment>
  <threadedComment ref="N10" dT="2020-10-30T09:35:13.29" personId="{C32653E5-43C3-4829-B5E4-0A2FE24BC648}" id="{81555BC3-7245-4706-88A4-2EE639A88093}" parentId="{BD6C9EB3-6E1E-4E55-BF06-B87540D1F46D}">
    <text>IRP 2019 has 85% for ratio. After discussion with Greg, I'm now applying the ratio found in NREL 2018 - see chart below.</text>
  </threadedComment>
  <threadedComment ref="L11" dT="2020-06-30T12:21:12.03" personId="{308666E5-D28E-418E-B7E7-F6D9F22CA4C0}" id="{E639A696-8AFD-4D0E-8F0E-2C80A7E10A4D}">
    <text>Ireland et al 2018, Reference Costs</text>
  </threadedComment>
  <threadedComment ref="L13" dT="2021-05-25T12:11:35.20" personId="{C32653E5-43C3-4829-B5E4-0A2FE24BC648}" id="{9197BB82-9EEE-4EAB-AA32-4F02A494DF04}">
    <text>NREL 2020</text>
  </threadedComment>
  <threadedComment ref="N15" dT="2020-06-30T13:57:24.37" personId="{308666E5-D28E-418E-B7E7-F6D9F22CA4C0}" id="{58B53260-C3F1-4370-A07F-AA9E9B19A595}">
    <text>Black River Park installation</text>
  </threadedComment>
  <threadedComment ref="N16" dT="2020-06-30T13:57:24.37" personId="{308666E5-D28E-418E-B7E7-F6D9F22CA4C0}" id="{4CEC68BA-BA55-4873-BE94-D8EB5E0DD9CC}">
    <text>Black River Park installation</text>
  </threadedComment>
  <threadedComment ref="N17" dT="2020-06-30T13:57:24.37" personId="{308666E5-D28E-418E-B7E7-F6D9F22CA4C0}" id="{6E2A1556-2DAA-4712-9F30-914A0D3C12F6}">
    <text>Black River Park installation</text>
  </threadedComment>
  <threadedComment ref="G22" dT="2020-06-30T13:23:13.64" personId="{308666E5-D28E-418E-B7E7-F6D9F22CA4C0}" id="{9AFE1E86-7769-49DF-8CC0-450DA07B02BA}">
    <text>REIPPP round 4 tariff</text>
  </threadedComment>
  <threadedComment ref="G24" dT="2020-06-30T13:23:13.64" personId="{308666E5-D28E-418E-B7E7-F6D9F22CA4C0}" id="{A47D6541-F7FE-4C0F-9425-208E5F2E9DD8}">
    <text>REIPPP round 4 tariff</text>
  </threadedComment>
  <threadedComment ref="K29" dT="2021-05-04T09:18:37.57" personId="{C32653E5-43C3-4829-B5E4-0A2FE24BC648}" id="{6BF9A430-9C7D-4B5F-9E29-CF897AE81AB8}">
    <text>convert from 2022 to 2021 Rands</text>
  </threadedComment>
  <threadedComment ref="H33" dT="2021-05-04T09:35:53.93" personId="{C32653E5-43C3-4829-B5E4-0A2FE24BC648}" id="{4891AD26-F0AB-4ECA-8ECA-A52FBEFC13EC}">
    <text>Wright 2020Full Report:  - Table 9, assuming 2018-2019avg as they're using Jan2019 rands.</text>
  </threadedComment>
</ThreadedComments>
</file>

<file path=xl/threadedComments/threadedComment4.xml><?xml version="1.0" encoding="utf-8"?>
<ThreadedComments xmlns="http://schemas.microsoft.com/office/spreadsheetml/2018/threadedcomments" xmlns:x="http://schemas.openxmlformats.org/spreadsheetml/2006/main">
  <threadedComment ref="L3" dT="2023-08-15T11:56:26.74" personId="{0112F04A-8356-4CE9-A34F-E1C1EF048FE4}" id="{1DF61BD1-697E-4916-9D38-3FB010E47596}">
    <text>This needs to be updated once profiles have been calibrated.</text>
  </threadedComment>
  <threadedComment ref="O3" dT="2020-06-29T15:36:13.50" personId="{308666E5-D28E-418E-B7E7-F6D9F22CA4C0}" id="{AEC13AFA-5FD1-4743-BF8A-C83225FDE194}">
    <text>-ve lead times means that capacity will show +ve the year NCAP is +ve</text>
  </threadedComment>
  <threadedComment ref="P3" dT="2020-06-29T13:43:05.81" personId="{308666E5-D28E-418E-B7E7-F6D9F22CA4C0}" id="{AE0F02EE-11A8-451D-88AE-BB0DD2550895}">
    <text>Taken from EPRI 2017, except if stated otherwise</text>
  </threadedComment>
  <threadedComment ref="F5" dT="2023-09-08T08:02:05.02" personId="{0112F04A-8356-4CE9-A34F-E1C1EF048FE4}" id="{A144B160-4BB6-40B0-8367-AC08293BECF8}">
    <text>See Energy Balance for assumptions</text>
  </threadedComment>
  <threadedComment ref="J7" dT="2023-09-08T10:48:39.05" personId="{0112F04A-8356-4CE9-A34F-E1C1EF048FE4}" id="{C9388E62-5011-4971-A3AF-8E47984B5064}">
    <text>Previous value updated to 2022 rands</text>
  </threadedComment>
  <threadedComment ref="R7" dT="2023-11-20T09:40:38.69" personId="{0112F04A-8356-4CE9-A34F-E1C1EF048FE4}" id="{EEFD0FC8-A772-44C3-BC33-4E3AB1CF70BD}">
    <text>From Eskom 2021 Integrated Report</text>
  </threadedComment>
</ThreadedComments>
</file>

<file path=xl/threadedComments/threadedComment5.xml><?xml version="1.0" encoding="utf-8"?>
<ThreadedComments xmlns="http://schemas.microsoft.com/office/spreadsheetml/2018/threadedcomments" xmlns:x="http://schemas.openxmlformats.org/spreadsheetml/2006/main">
  <threadedComment ref="K6" dT="2020-06-25T08:49:39.74" personId="{308666E5-D28E-418E-B7E7-F6D9F22CA4C0}" id="{D98CC26F-E1AF-4C2C-8230-0AFBDA8EF773}">
    <text>From inventory, assuming constant opencast vs underground ratios in ktonCO2/mton coal. This could be improved in the future, given info about each type of mine.</text>
  </threadedComment>
  <threadedComment ref="G9" dT="2021-05-18T14:41:47.28" personId="{C32653E5-43C3-4829-B5E4-0A2FE24BC648}" id="{A079F88E-4461-4EF0-A61C-2F2A1CE62100}">
    <text>old price (updated 2020)</text>
  </threadedComment>
  <threadedComment ref="J18" dT="2020-06-25T08:35:08.73" personId="{308666E5-D28E-418E-B7E7-F6D9F22CA4C0}" id="{34601E05-E89B-466C-AD4F-EC365D90D14B}">
    <text>https://www.miningmx.com/news/energy/40797-seriti-resources-coal-deal-with-eskoms-kusile-still-18-months-away/</text>
  </threadedComment>
</ThreadedComments>
</file>

<file path=xl/threadedComments/threadedComment6.xml><?xml version="1.0" encoding="utf-8"?>
<ThreadedComments xmlns="http://schemas.microsoft.com/office/spreadsheetml/2018/threadedcomments" xmlns:x="http://schemas.openxmlformats.org/spreadsheetml/2006/main">
  <threadedComment ref="J4" dT="2020-11-06T08:49:18.93" personId="{308666E5-D28E-418E-B7E7-F6D9F22CA4C0}" id="{5DCBE09B-295A-4D59-9C2F-8C5CEF3205D1}">
    <text>From Inventory</text>
  </threadedComment>
  <threadedComment ref="K7" dT="2020-11-06T08:49:03.43" personId="{308666E5-D28E-418E-B7E7-F6D9F22CA4C0}" id="{4ACEC37D-4D21-4834-9151-E482CA5D7406}">
    <text>From model run</text>
  </threadedComment>
  <threadedComment ref="M13" dT="2021-05-13T08:52:52.03" personId="{C32653E5-43C3-4829-B5E4-0A2FE24BC648}" id="{7F3448DE-6F00-46D7-9F92-CFF05DF2789F}">
    <text>not counted in Eskom data on auxiliary flows.</text>
  </threadedComment>
  <threadedComment ref="N13" dT="2021-05-13T08:34:09.73" personId="{C32653E5-43C3-4829-B5E4-0A2FE24BC648}" id="{0E2D27E3-DA02-4D89-A7F4-0AE103F2C559}">
    <text>no Reference Data Available</text>
  </threadedComment>
  <threadedComment ref="N17" dT="2021-05-13T08:34:26.72" personId="{C32653E5-43C3-4829-B5E4-0A2FE24BC648}" id="{91C43A46-94A3-4BB1-8CA2-31BA597EC2CE}">
    <text>Assumes with FGD</text>
  </threadedComment>
  <threadedComment ref="N23" dT="2021-05-13T08:34:38.04" personId="{C32653E5-43C3-4829-B5E4-0A2FE24BC648}" id="{FCDBB584-853D-43F5-B229-60FDF10EA7AE}">
    <text>Assumes without FGD</text>
  </threadedComment>
  <threadedComment ref="N25" dT="2021-05-13T08:34:09.73" personId="{C32653E5-43C3-4829-B5E4-0A2FE24BC648}" id="{05605B42-A5A7-4160-8E09-B8A57C48EC36}">
    <text>no Reference Data Available</text>
  </threadedComment>
  <threadedComment ref="N26" dT="2021-05-13T08:34:09.73" personId="{C32653E5-43C3-4829-B5E4-0A2FE24BC648}" id="{EB2CD911-7F62-4EFB-BA96-E7D7336B8354}">
    <text>no Reference Data Available</text>
  </threadedComment>
</ThreadedComments>
</file>

<file path=xl/threadedComments/threadedComment7.xml><?xml version="1.0" encoding="utf-8"?>
<ThreadedComments xmlns="http://schemas.microsoft.com/office/spreadsheetml/2018/threadedcomments" xmlns:x="http://schemas.openxmlformats.org/spreadsheetml/2006/main">
  <threadedComment ref="I38" dT="2021-05-18T14:37:19.22" personId="{C32653E5-43C3-4829-B5E4-0A2FE24BC648}" id="{718FD278-0E2B-43AD-860B-AF3942D78DA3}">
    <text>Ownership change in 2021 - https://www.miningweekly.com/article/new-seriti-power-name-indicative-of-coal-companys-general-energy-vision-teke-2021-05-17</text>
  </threadedComment>
  <threadedComment ref="N47" dT="2020-06-25T08:17:35.17" personId="{308666E5-D28E-418E-B7E7-F6D9F22CA4C0}" id="{4D395F4C-A11C-4668-B9FF-0EFA6000ED97}">
    <text>From Coal contract database (Meridian?)</text>
  </threadedComment>
  <threadedComment ref="P47" dT="2020-06-23T11:01:45.24" personId="{308666E5-D28E-418E-B7E7-F6D9F22CA4C0}" id="{2F896CA9-4D7A-4896-8432-01F42F9DDCFA}">
    <text>From Coal contracts database (Meridian?)</text>
  </threadedComment>
  <threadedComment ref="R47" dT="2020-06-23T11:01:19.92" personId="{308666E5-D28E-418E-B7E7-F6D9F22CA4C0}" id="{ECEABD59-50F9-41DA-BBA9-E8D90662A09D}">
    <text>From Coal contracts database (Meridian?)</text>
  </threadedComment>
  <threadedComment ref="V47" dT="2020-06-25T08:33:47.57" personId="{308666E5-D28E-418E-B7E7-F6D9F22CA4C0}" id="{119D13ED-ECD4-407B-8C8B-2367941BDC01}">
    <text>20billion 2019 rands for 12 million tons/year.</text>
  </threadedComment>
</ThreadedComments>
</file>

<file path=xl/threadedComments/threadedComment8.xml><?xml version="1.0" encoding="utf-8"?>
<ThreadedComments xmlns="http://schemas.microsoft.com/office/spreadsheetml/2018/threadedcomments" xmlns:x="http://schemas.openxmlformats.org/spreadsheetml/2006/main">
  <threadedComment ref="P14" dT="2020-06-23T08:29:51.31" personId="{308666E5-D28E-418E-B7E7-F6D9F22CA4C0}" id="{A547D2B1-1EE0-45CB-A041-A50B2BD05700}">
    <text>pers.comms.Alwyn van der Merwe ~ 5mtons in 2017.</text>
  </threadedComment>
  <threadedComment ref="V14" dT="2020-06-23T10:28:13.43" personId="{308666E5-D28E-418E-B7E7-F6D9F22CA4C0}" id="{85951D82-B698-42D9-AA25-753AC92E553A}">
    <text>From IRP</text>
  </threadedComment>
  <threadedComment ref="P34" dT="2020-06-23T08:31:03.48" personId="{308666E5-D28E-418E-B7E7-F6D9F22CA4C0}" id="{78BFD2E4-E29C-43F0-94B0-8791B897BB43}">
    <text>From Alwyn vdMerwe, but seems out of sync with Medupi number.</text>
  </threadedComment>
</ThreadedComments>
</file>

<file path=xl/threadedComments/threadedComment9.xml><?xml version="1.0" encoding="utf-8"?>
<ThreadedComments xmlns="http://schemas.microsoft.com/office/spreadsheetml/2018/threadedcomments" xmlns:x="http://schemas.openxmlformats.org/spreadsheetml/2006/main">
  <threadedComment ref="D4" dT="2022-11-02T09:50:00.07" personId="{C32653E5-43C3-4829-B5E4-0A2FE24BC648}" id="{27795F3D-0992-4CBE-A35F-FE944A6CBDB1}">
    <text>Updated MTSAO 2022</text>
  </threadedComment>
  <threadedComment ref="E5" dT="2022-11-02T09:36:00.99" personId="{C32653E5-43C3-4829-B5E4-0A2FE24BC648}" id="{72784821-B323-462A-ABD8-586C7685A88E}">
    <text>Updated from MTSAO 2022</text>
  </threadedComment>
  <threadedComment ref="C6" dT="2020-06-23T09:11:01.50" personId="{308666E5-D28E-418E-B7E7-F6D9F22CA4C0}" id="{FE695E8C-356E-4088-BD2F-4F43564913AC}">
    <text>taken from ppt and 
not from 28 April letter.</text>
  </threadedComment>
</ThreadedComments>
</file>

<file path=xl/threadedComments/threadedComment10.xml><?xml version="1.0" encoding="utf-8"?>
<ThreadedComments xmlns="http://schemas.microsoft.com/office/spreadsheetml/2018/threadedcomments" xmlns:x="http://schemas.openxmlformats.org/spreadsheetml/2006/main">
  <threadedComment ref="H107" dT="2020-07-20T07:15:17.35" personId="{308666E5-D28E-418E-B7E7-F6D9F22CA4C0}" id="{B6D8EF6C-3BF5-4EF2-A539-E49AD5F5054B}">
    <text>fixed this to make it equal to 2018 value as 2017 value seems to show per unit and not total capacity</text>
  </threadedComment>
</ThreadedComments>
</file>

<file path=xl/threadedComments/threadedComment11.xml><?xml version="1.0" encoding="utf-8"?>
<ThreadedComments xmlns="http://schemas.microsoft.com/office/spreadsheetml/2018/threadedcomments" xmlns:x="http://schemas.openxmlformats.org/spreadsheetml/2006/main">
  <threadedComment ref="G37" dT="2023-07-18T07:53:24.16" personId="{0112F04A-8356-4CE9-A34F-E1C1EF048FE4}" id="{F9430675-0C93-4B93-A8E0-AF2F40A81458}">
    <text xml:space="preserve">This is confirmed by: https://www.greenagri.org.za/tips-and-tools/energy/renewable-energy-in-agriculture/#:~:text=10%25%20of%20all%20installed%20PV,to%20grow%20at%2010%25%20annually. </text>
    <extLst>
      <x:ext xmlns:xltc2="http://schemas.microsoft.com/office/spreadsheetml/2020/threadedcomments2" uri="{F7C98A9C-CBB3-438F-8F68-D28B6AF4A901}">
        <xltc2:checksum>2436641800</xltc2:checksum>
        <xltc2:hyperlink startIndex="22" length="159" url="https://www.greenagri.org.za/tips-and-tools/energy/renewable-energy-in-agriculture/#:~:text=10%25%20of%20all%20installed%20PV,to%20grow%20at%2010%25%20annually"/>
      </x:ext>
    </extLst>
  </threadedComment>
</ThreadedComments>
</file>

<file path=xl/threadedComments/threadedComment12.xml><?xml version="1.0" encoding="utf-8"?>
<ThreadedComments xmlns="http://schemas.microsoft.com/office/spreadsheetml/2018/threadedcomments" xmlns:x="http://schemas.openxmlformats.org/spreadsheetml/2006/main">
  <threadedComment ref="G4" dT="2021-04-16T09:50:01.72" personId="{C32653E5-43C3-4829-B5E4-0A2FE24BC648}" id="{BBBB1DD1-48F1-4908-A60F-EE321008A3F3}">
    <text>Added in from EPRI report</text>
  </threadedComment>
  <threadedComment ref="L4" dT="2021-04-16T09:50:01.72" personId="{C32653E5-43C3-4829-B5E4-0A2FE24BC648}" id="{2EAC4F65-6933-4C14-9C90-51A9D9B368F4}">
    <text>Added in from EPRI report</text>
  </threadedComment>
  <threadedComment ref="AA4" dT="2021-03-24T14:43:18.63" personId="{C32653E5-43C3-4829-B5E4-0A2FE24BC648}" id="{88734E0C-9DD9-4EC2-A5CB-AC7BC787C3F8}">
    <text>it looks like the 3 hour storage costs got switched with the 9 hour storage costs!</text>
  </threadedComment>
  <threadedComment ref="B6" dT="2021-04-16T09:49:29.02" personId="{C32653E5-43C3-4829-B5E4-0A2FE24BC648}" id="{E97246C9-8CA0-49DC-AF1F-5EEABB208692}">
    <text>this is taken directly from 2017 EPRI report in Table 7-2 last column.</text>
  </threadedComment>
  <threadedComment ref="T16" dT="2020-06-30T13:19:37.82" personId="{308666E5-D28E-418E-B7E7-F6D9F22CA4C0}" id="{7575FBFB-CA3F-46EA-BE1E-50B42BA24576}">
    <text>ODC already included in cost estimates coming from REIPPP</text>
  </threadedComment>
</ThreadedComments>
</file>

<file path=xl/threadedComments/threadedComment13.xml><?xml version="1.0" encoding="utf-8"?>
<ThreadedComments xmlns="http://schemas.microsoft.com/office/spreadsheetml/2018/threadedcomments" xmlns:x="http://schemas.openxmlformats.org/spreadsheetml/2006/main">
  <threadedComment ref="I10" dT="2023-09-05T05:11:43.58" personId="{0112F04A-8356-4CE9-A34F-E1C1EF048FE4}" id="{DADACDEC-E4DD-44F6-B879-1B7652A956E6}">
    <text>https://www.miningweekly.com/article/pumped-storage-has-potential-to-throw-hillside-aluminium-green-lifeline-2022-01-10</text>
    <extLst>
      <x:ext xmlns:xltc2="http://schemas.microsoft.com/office/spreadsheetml/2020/threadedcomments2" uri="{F7C98A9C-CBB3-438F-8F68-D28B6AF4A901}">
        <xltc2:checksum>3208685212</xltc2:checksum>
        <xltc2:hyperlink startIndex="0" length="119" url="https://www.miningweekly.com/article/pumped-storage-has-potential-to-throw-hillside-aluminium-green-lifeline-2022-01-10"/>
      </x:ext>
    </extLst>
  </threadedComment>
</ThreadedComments>
</file>

<file path=xl/threadedComments/threadedComment14.xml><?xml version="1.0" encoding="utf-8"?>
<ThreadedComments xmlns="http://schemas.microsoft.com/office/spreadsheetml/2018/threadedcomments" xmlns:x="http://schemas.openxmlformats.org/spreadsheetml/2006/main">
  <threadedComment ref="I40" dT="2021-04-27T08:26:42.61" personId="{C32653E5-43C3-4829-B5E4-0A2FE24BC648}" id="{D8DBDB9B-92EE-4C3D-AD73-7DBFCAFE9440}">
    <text>with tracking check</text>
  </threadedComment>
  <threadedComment ref="I42" dT="2021-04-27T08:26:54.82" personId="{C32653E5-43C3-4829-B5E4-0A2FE24BC648}" id="{5CE5CC8C-47B6-4A82-B1EC-3BDFEB2C40A8}">
    <text>slide 30 check</text>
  </threadedComment>
</ThreadedComments>
</file>

<file path=xl/threadedComments/threadedComment15.xml><?xml version="1.0" encoding="utf-8"?>
<ThreadedComments xmlns="http://schemas.microsoft.com/office/spreadsheetml/2018/threadedcomments" xmlns:x="http://schemas.openxmlformats.org/spreadsheetml/2006/main">
  <threadedComment ref="E81" dT="2020-06-26T10:06:31.59" personId="{308666E5-D28E-418E-B7E7-F6D9F22CA4C0}" id="{836703D0-C60E-4DC3-A210-714A26466922}">
    <text>based on cost of new plant</text>
  </threadedComment>
</ThreadedComments>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microsoft.com/office/2017/10/relationships/threadedComment" Target="../threadedComments/threadedComment5.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microsoft.com/office/2017/10/relationships/threadedComment" Target="../threadedComments/threadedComment6.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7.bin"/><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8.xml"/><Relationship Id="rId4" Type="http://schemas.openxmlformats.org/officeDocument/2006/relationships/comments" Target="../comments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7.xml"/><Relationship Id="rId4" Type="http://schemas.microsoft.com/office/2017/10/relationships/threadedComment" Target="../threadedComments/threadedComment9.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 Id="rId4" Type="http://schemas.microsoft.com/office/2017/10/relationships/threadedComment" Target="../threadedComments/threadedComment10.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https://www.energy.org.za/data-and-tools/project-database?art_title=&amp;programme=REIPPP+Window+4&amp;project_type=&amp;province=&amp;status=Awaiting+construction&amp;cck=project&amp;scale=Large+Scale+Utility&amp;country=South+Africa&amp;search=project_search&amp;task=search"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20.xml"/><Relationship Id="rId4" Type="http://schemas.microsoft.com/office/2017/10/relationships/threadedComment" Target="../threadedComments/threadedComment11.xml"/></Relationships>
</file>

<file path=xl/worksheets/_rels/sheet30.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1.xml"/><Relationship Id="rId1" Type="http://schemas.openxmlformats.org/officeDocument/2006/relationships/hyperlink" Target="https://www.ee.co.za/article/the-contribution-of-pumped-storage-schemes-to-energy-generation-in-south-africa.html" TargetMode="External"/><Relationship Id="rId5" Type="http://schemas.microsoft.com/office/2017/10/relationships/threadedComment" Target="../threadedComments/threadedComment13.xml"/><Relationship Id="rId4" Type="http://schemas.openxmlformats.org/officeDocument/2006/relationships/comments" Target="../comments17.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22.xml"/><Relationship Id="rId1" Type="http://schemas.openxmlformats.org/officeDocument/2006/relationships/hyperlink" Target="https://www.nrel.gov/docs/fy21osti/77324.pdf" TargetMode="External"/><Relationship Id="rId5" Type="http://schemas.microsoft.com/office/2017/10/relationships/threadedComment" Target="../threadedComments/threadedComment14.xml"/><Relationship Id="rId4" Type="http://schemas.openxmlformats.org/officeDocument/2006/relationships/comments" Target="../comments18.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19.xml"/><Relationship Id="rId5" Type="http://schemas.openxmlformats.org/officeDocument/2006/relationships/vmlDrawing" Target="../drawings/vmlDrawing19.vml"/><Relationship Id="rId4" Type="http://schemas.openxmlformats.org/officeDocument/2006/relationships/drawing" Target="../drawings/drawing25.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6.xml"/><Relationship Id="rId1" Type="http://schemas.openxmlformats.org/officeDocument/2006/relationships/printerSettings" Target="../printerSettings/printerSettings22.bin"/><Relationship Id="rId5" Type="http://schemas.microsoft.com/office/2017/10/relationships/threadedComment" Target="../threadedComments/threadedComment15.xml"/><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beta2.statssa.gov.za/publications/P0141/CPIHistory.pdf" TargetMode="External"/><Relationship Id="rId1" Type="http://schemas.openxmlformats.org/officeDocument/2006/relationships/hyperlink" Target="http://search.worldbank.org/data?qterm=gdp%20deflator%20%22south%20africa%22&amp;language=EN"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5.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7.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32.xml"/><Relationship Id="rId1" Type="http://schemas.openxmlformats.org/officeDocument/2006/relationships/printerSettings" Target="../printerSettings/printerSettings29.bin"/><Relationship Id="rId4" Type="http://schemas.openxmlformats.org/officeDocument/2006/relationships/comments" Target="../comments21.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33.xml"/><Relationship Id="rId1" Type="http://schemas.openxmlformats.org/officeDocument/2006/relationships/printerSettings" Target="../printerSettings/printerSettings30.bin"/><Relationship Id="rId4" Type="http://schemas.openxmlformats.org/officeDocument/2006/relationships/comments" Target="../comments22.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3.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9FEB6-478C-43F2-94F4-17F2867BB42B}">
  <sheetPr codeName="Sheet21">
    <tabColor theme="9"/>
  </sheetPr>
  <dimension ref="B3:H33"/>
  <sheetViews>
    <sheetView workbookViewId="0">
      <selection activeCell="A22" sqref="A22:XFD28"/>
    </sheetView>
  </sheetViews>
  <sheetFormatPr defaultColWidth="8.85546875" defaultRowHeight="12.75" x14ac:dyDescent="0.2"/>
  <cols>
    <col min="2" max="2" width="22.5703125" customWidth="1"/>
    <col min="4" max="4" width="34.42578125" customWidth="1"/>
    <col min="5" max="5" width="58.85546875" customWidth="1"/>
    <col min="7" max="7" width="39" customWidth="1"/>
  </cols>
  <sheetData>
    <row r="3" spans="2:8" ht="18" thickBot="1" x14ac:dyDescent="0.35">
      <c r="B3" s="331" t="s">
        <v>1773</v>
      </c>
      <c r="C3" s="331"/>
      <c r="D3" t="s">
        <v>2086</v>
      </c>
      <c r="E3" t="s">
        <v>15</v>
      </c>
    </row>
    <row r="4" spans="2:8" ht="13.5" thickTop="1" x14ac:dyDescent="0.2">
      <c r="D4" t="s">
        <v>2087</v>
      </c>
      <c r="E4" t="s">
        <v>2089</v>
      </c>
    </row>
    <row r="5" spans="2:8" ht="15" x14ac:dyDescent="0.25">
      <c r="B5" t="s">
        <v>2090</v>
      </c>
      <c r="C5" s="332">
        <v>0</v>
      </c>
      <c r="D5" t="s">
        <v>2091</v>
      </c>
      <c r="E5" t="s">
        <v>2092</v>
      </c>
    </row>
    <row r="6" spans="2:8" ht="15" x14ac:dyDescent="0.25">
      <c r="B6" t="s">
        <v>2361</v>
      </c>
      <c r="C6" s="332">
        <v>0</v>
      </c>
      <c r="D6" t="s">
        <v>2088</v>
      </c>
      <c r="E6" s="330" t="s">
        <v>2162</v>
      </c>
      <c r="G6" s="330" t="s">
        <v>1849</v>
      </c>
      <c r="H6" s="332" t="s">
        <v>336</v>
      </c>
    </row>
    <row r="7" spans="2:8" ht="15" x14ac:dyDescent="0.25">
      <c r="B7" t="s">
        <v>2362</v>
      </c>
      <c r="C7" s="332">
        <v>0</v>
      </c>
      <c r="D7" s="330" t="s">
        <v>2158</v>
      </c>
      <c r="E7" s="330" t="s">
        <v>2159</v>
      </c>
      <c r="G7" s="330" t="s">
        <v>1850</v>
      </c>
      <c r="H7" s="330" t="s">
        <v>1848</v>
      </c>
    </row>
    <row r="8" spans="2:8" ht="15" x14ac:dyDescent="0.25">
      <c r="B8" t="s">
        <v>2363</v>
      </c>
      <c r="C8" s="332">
        <v>0</v>
      </c>
      <c r="D8" s="330" t="s">
        <v>2252</v>
      </c>
      <c r="E8" s="330" t="s">
        <v>2159</v>
      </c>
      <c r="G8" s="330" t="s">
        <v>1851</v>
      </c>
      <c r="H8" s="330" t="s">
        <v>336</v>
      </c>
    </row>
    <row r="9" spans="2:8" ht="15" x14ac:dyDescent="0.25">
      <c r="B9" s="330" t="s">
        <v>2144</v>
      </c>
      <c r="C9" s="332">
        <v>0</v>
      </c>
      <c r="D9" s="330" t="s">
        <v>2145</v>
      </c>
      <c r="E9" s="330" t="s">
        <v>2160</v>
      </c>
    </row>
    <row r="10" spans="2:8" ht="15" x14ac:dyDescent="0.25">
      <c r="B10" s="330" t="s">
        <v>1788</v>
      </c>
      <c r="C10" s="332">
        <v>0</v>
      </c>
      <c r="D10" t="s">
        <v>2093</v>
      </c>
      <c r="E10" s="330" t="s">
        <v>2161</v>
      </c>
    </row>
    <row r="11" spans="2:8" ht="15" x14ac:dyDescent="0.25">
      <c r="B11" s="330" t="s">
        <v>1787</v>
      </c>
      <c r="C11" s="332">
        <v>0</v>
      </c>
      <c r="D11" t="s">
        <v>2094</v>
      </c>
      <c r="E11" t="s">
        <v>2098</v>
      </c>
    </row>
    <row r="12" spans="2:8" ht="15" x14ac:dyDescent="0.25">
      <c r="B12" s="330" t="s">
        <v>1825</v>
      </c>
      <c r="C12" s="332">
        <v>0</v>
      </c>
      <c r="D12" t="s">
        <v>2095</v>
      </c>
      <c r="E12" t="s">
        <v>2099</v>
      </c>
    </row>
    <row r="13" spans="2:8" ht="15" x14ac:dyDescent="0.25">
      <c r="B13" s="330" t="s">
        <v>1834</v>
      </c>
      <c r="C13" s="332">
        <v>0</v>
      </c>
      <c r="D13" t="s">
        <v>2096</v>
      </c>
      <c r="E13" t="s">
        <v>2100</v>
      </c>
    </row>
    <row r="14" spans="2:8" ht="15" x14ac:dyDescent="0.25">
      <c r="B14" s="330" t="s">
        <v>1847</v>
      </c>
      <c r="C14" s="332">
        <v>0</v>
      </c>
      <c r="D14" t="s">
        <v>2097</v>
      </c>
      <c r="E14" t="s">
        <v>2101</v>
      </c>
    </row>
    <row r="15" spans="2:8" ht="15" x14ac:dyDescent="0.25">
      <c r="B15" s="330" t="s">
        <v>1922</v>
      </c>
      <c r="C15" s="332">
        <v>0</v>
      </c>
      <c r="D15" t="s">
        <v>2102</v>
      </c>
      <c r="E15" t="s">
        <v>2104</v>
      </c>
    </row>
    <row r="16" spans="2:8" ht="15" x14ac:dyDescent="0.25">
      <c r="B16" s="330" t="s">
        <v>2071</v>
      </c>
      <c r="C16" s="332">
        <v>0</v>
      </c>
      <c r="D16" t="s">
        <v>2103</v>
      </c>
      <c r="E16" t="s">
        <v>2071</v>
      </c>
    </row>
    <row r="17" spans="2:5" x14ac:dyDescent="0.2">
      <c r="C17">
        <f>IF(SUM(C6:C16)&gt;0,1,0)</f>
        <v>0</v>
      </c>
    </row>
    <row r="18" spans="2:5" x14ac:dyDescent="0.2">
      <c r="B18" s="330" t="s">
        <v>1774</v>
      </c>
      <c r="C18" s="330" t="s">
        <v>1775</v>
      </c>
    </row>
    <row r="19" spans="2:5" ht="15" x14ac:dyDescent="0.25">
      <c r="B19">
        <f>Processes!A2</f>
        <v>0</v>
      </c>
      <c r="C19" s="335">
        <v>1</v>
      </c>
    </row>
    <row r="20" spans="2:5" ht="15" x14ac:dyDescent="0.25">
      <c r="B20">
        <f>ProcDataGenPre2012!A2</f>
        <v>0</v>
      </c>
      <c r="C20" s="332">
        <f>1-$C$17</f>
        <v>1</v>
      </c>
    </row>
    <row r="21" spans="2:5" ht="15" x14ac:dyDescent="0.25">
      <c r="B21">
        <f>ProcDataGen2012On!A2</f>
        <v>0</v>
      </c>
      <c r="C21" s="332">
        <f>1-$C$17</f>
        <v>1</v>
      </c>
    </row>
    <row r="22" spans="2:5" ht="15" x14ac:dyDescent="0.25">
      <c r="B22">
        <f>ProcDataRECostProfiles!A2</f>
        <v>0</v>
      </c>
      <c r="C22" s="332">
        <f>1-$C$17+C15</f>
        <v>1</v>
      </c>
    </row>
    <row r="23" spans="2:5" ht="15" x14ac:dyDescent="0.25">
      <c r="B23">
        <f>ProcDataTnD!A2</f>
        <v>0</v>
      </c>
      <c r="C23" s="332">
        <f t="shared" ref="C23:C25" si="0">1-$C$17</f>
        <v>1</v>
      </c>
      <c r="D23" s="44" t="s">
        <v>2185</v>
      </c>
      <c r="E23" s="330" t="s">
        <v>2186</v>
      </c>
    </row>
    <row r="24" spans="2:5" ht="15" x14ac:dyDescent="0.25">
      <c r="B24">
        <f>ProcDataExports!A2</f>
        <v>0</v>
      </c>
      <c r="C24" s="332">
        <f t="shared" si="0"/>
        <v>1</v>
      </c>
    </row>
    <row r="25" spans="2:5" ht="15" x14ac:dyDescent="0.25">
      <c r="B25">
        <f>ProcDataMines!A2</f>
        <v>0</v>
      </c>
      <c r="C25" s="332">
        <f t="shared" si="0"/>
        <v>1</v>
      </c>
    </row>
    <row r="26" spans="2:5" ht="15" x14ac:dyDescent="0.25">
      <c r="B26">
        <f>Commodities!A2</f>
        <v>0</v>
      </c>
      <c r="C26" s="332">
        <f>1-$C$17+C16</f>
        <v>1</v>
      </c>
    </row>
    <row r="27" spans="2:5" ht="15" x14ac:dyDescent="0.25">
      <c r="B27">
        <f>CommData!A2</f>
        <v>0</v>
      </c>
      <c r="C27" s="332">
        <f>1-$C$17+C16</f>
        <v>1</v>
      </c>
    </row>
    <row r="28" spans="2:5" ht="15" x14ac:dyDescent="0.25">
      <c r="B28" s="330">
        <f>ProcDataRM!A2</f>
        <v>0</v>
      </c>
      <c r="C28" s="332">
        <f>MIN(1-C17+C12,1)</f>
        <v>1</v>
      </c>
    </row>
    <row r="29" spans="2:5" ht="15" x14ac:dyDescent="0.25">
      <c r="B29" s="330">
        <f>ProcDataAux!A2</f>
        <v>0</v>
      </c>
      <c r="C29" s="332">
        <f>1-$C$17</f>
        <v>1</v>
      </c>
      <c r="D29" s="330"/>
    </row>
    <row r="30" spans="2:5" ht="15" x14ac:dyDescent="0.25">
      <c r="B30">
        <f>ProcDataLowEAF!A2</f>
        <v>0</v>
      </c>
      <c r="C30" s="332">
        <f>C12</f>
        <v>0</v>
      </c>
      <c r="D30" s="44" t="s">
        <v>2117</v>
      </c>
      <c r="E30" s="330" t="s">
        <v>2121</v>
      </c>
    </row>
    <row r="31" spans="2:5" ht="15" x14ac:dyDescent="0.25">
      <c r="B31">
        <f>ProcDataEndoRetire!A2</f>
        <v>0</v>
      </c>
      <c r="C31" s="332">
        <v>0</v>
      </c>
    </row>
    <row r="32" spans="2:5" ht="15" x14ac:dyDescent="0.25">
      <c r="B32" t="e">
        <f>#REF!</f>
        <v>#REF!</v>
      </c>
      <c r="C32" s="332">
        <f>C5</f>
        <v>0</v>
      </c>
    </row>
    <row r="33" spans="2:3" ht="15" x14ac:dyDescent="0.25">
      <c r="B33">
        <f>ProcDataRampRates!A2</f>
        <v>0</v>
      </c>
      <c r="C33" s="332">
        <f>1-$C$17</f>
        <v>1</v>
      </c>
    </row>
  </sheetData>
  <dataValidations count="1">
    <dataValidation type="list" allowBlank="1" showInputMessage="1" showErrorMessage="1" sqref="H6" xr:uid="{11740153-8AEB-4745-9947-5191B8A11991}">
      <formula1>$H$7:$H$8</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5EA57188-1DBC-406E-A43D-C56D3175247C}">
          <x14:formula1>
            <xm:f>ProcDataRM!$G$5:$H$5</xm:f>
          </x14:formula1>
          <xm:sqref>D30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09383-B8DF-449D-AFDB-F2373C667E26}">
  <sheetPr codeName="Sheet60">
    <tabColor rgb="FF00B050"/>
  </sheetPr>
  <dimension ref="A1"/>
  <sheetViews>
    <sheetView workbookViewId="0"/>
  </sheetViews>
  <sheetFormatPr defaultColWidth="8.85546875" defaultRowHeight="12.7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C3F5-275F-4228-88BD-A2EC2F6EF68F}">
  <sheetPr codeName="Sheet23">
    <tabColor rgb="FF00B0F0"/>
  </sheetPr>
  <dimension ref="A1:J136"/>
  <sheetViews>
    <sheetView workbookViewId="0">
      <selection activeCell="B33" sqref="B33:C34"/>
    </sheetView>
  </sheetViews>
  <sheetFormatPr defaultColWidth="9.140625" defaultRowHeight="12.75" x14ac:dyDescent="0.2"/>
  <cols>
    <col min="1" max="1" width="13.42578125" style="30" customWidth="1"/>
    <col min="2" max="2" width="16.140625" style="30" customWidth="1"/>
    <col min="3" max="3" width="45.42578125" style="30" customWidth="1"/>
    <col min="6" max="6" width="14.7109375" style="30" customWidth="1"/>
    <col min="7" max="7" width="13.140625" style="30" customWidth="1"/>
    <col min="8" max="16384" width="9.140625" style="30"/>
  </cols>
  <sheetData>
    <row r="1" spans="1:8" x14ac:dyDescent="0.2">
      <c r="A1" s="47"/>
      <c r="B1" s="9"/>
    </row>
    <row r="2" spans="1:8" x14ac:dyDescent="0.2">
      <c r="A2" s="45"/>
    </row>
    <row r="4" spans="1:8" ht="18" customHeight="1" x14ac:dyDescent="0.2"/>
    <row r="6" spans="1:8" ht="15" x14ac:dyDescent="0.25">
      <c r="B6" s="490" t="s">
        <v>2424</v>
      </c>
      <c r="C6" s="491"/>
      <c r="D6" s="491"/>
      <c r="E6" s="491"/>
      <c r="F6" s="491"/>
      <c r="G6" s="491"/>
      <c r="H6" s="491"/>
    </row>
    <row r="7" spans="1:8" ht="15" x14ac:dyDescent="0.25">
      <c r="B7" s="492" t="s">
        <v>2411</v>
      </c>
      <c r="C7" s="492" t="s">
        <v>2412</v>
      </c>
      <c r="D7" s="492" t="s">
        <v>2413</v>
      </c>
      <c r="E7" s="492" t="s">
        <v>2414</v>
      </c>
      <c r="F7" s="492" t="s">
        <v>2415</v>
      </c>
      <c r="G7" s="492" t="s">
        <v>2410</v>
      </c>
      <c r="H7" s="492" t="s">
        <v>2416</v>
      </c>
    </row>
    <row r="8" spans="1:8" x14ac:dyDescent="0.2">
      <c r="A8" s="33" t="s">
        <v>309</v>
      </c>
    </row>
    <row r="9" spans="1:8" x14ac:dyDescent="0.2">
      <c r="B9" s="30" t="s">
        <v>308</v>
      </c>
      <c r="C9" s="30" t="s">
        <v>307</v>
      </c>
      <c r="D9" t="s">
        <v>114</v>
      </c>
      <c r="E9" t="s">
        <v>147</v>
      </c>
      <c r="F9" s="30" t="s">
        <v>336</v>
      </c>
      <c r="G9" s="30" t="s">
        <v>2420</v>
      </c>
      <c r="H9" s="30" t="s">
        <v>2417</v>
      </c>
    </row>
    <row r="10" spans="1:8" x14ac:dyDescent="0.2">
      <c r="B10" s="30" t="s">
        <v>306</v>
      </c>
      <c r="C10" s="30" t="s">
        <v>305</v>
      </c>
      <c r="D10" t="s">
        <v>114</v>
      </c>
      <c r="E10" t="s">
        <v>147</v>
      </c>
      <c r="F10" s="30" t="s">
        <v>336</v>
      </c>
      <c r="G10" s="30" t="s">
        <v>2420</v>
      </c>
      <c r="H10" s="30" t="s">
        <v>2417</v>
      </c>
    </row>
    <row r="11" spans="1:8" x14ac:dyDescent="0.2">
      <c r="B11" s="30" t="s">
        <v>304</v>
      </c>
      <c r="C11" s="30" t="s">
        <v>303</v>
      </c>
      <c r="D11" t="s">
        <v>114</v>
      </c>
      <c r="E11" t="s">
        <v>147</v>
      </c>
      <c r="F11" s="30" t="s">
        <v>336</v>
      </c>
      <c r="G11" s="30" t="s">
        <v>2420</v>
      </c>
      <c r="H11" s="30" t="s">
        <v>2417</v>
      </c>
    </row>
    <row r="12" spans="1:8" x14ac:dyDescent="0.2">
      <c r="B12" s="30" t="s">
        <v>302</v>
      </c>
      <c r="C12" s="30" t="s">
        <v>301</v>
      </c>
      <c r="D12" t="s">
        <v>114</v>
      </c>
      <c r="E12" t="s">
        <v>147</v>
      </c>
      <c r="F12" s="30" t="s">
        <v>336</v>
      </c>
      <c r="G12" s="30" t="s">
        <v>2420</v>
      </c>
      <c r="H12" s="30" t="s">
        <v>2417</v>
      </c>
    </row>
    <row r="13" spans="1:8" x14ac:dyDescent="0.2">
      <c r="B13" s="30" t="s">
        <v>300</v>
      </c>
      <c r="C13" s="30" t="s">
        <v>299</v>
      </c>
      <c r="D13" t="s">
        <v>114</v>
      </c>
      <c r="E13" t="s">
        <v>147</v>
      </c>
      <c r="F13" s="30" t="s">
        <v>336</v>
      </c>
      <c r="G13" s="30" t="s">
        <v>2420</v>
      </c>
      <c r="H13" s="30" t="s">
        <v>2417</v>
      </c>
    </row>
    <row r="14" spans="1:8" x14ac:dyDescent="0.2">
      <c r="B14" s="30" t="s">
        <v>298</v>
      </c>
      <c r="C14" s="30" t="s">
        <v>297</v>
      </c>
      <c r="D14" t="s">
        <v>114</v>
      </c>
      <c r="E14" t="s">
        <v>147</v>
      </c>
      <c r="F14" s="30" t="s">
        <v>336</v>
      </c>
      <c r="G14" s="30" t="s">
        <v>2420</v>
      </c>
      <c r="H14" s="30" t="s">
        <v>2417</v>
      </c>
    </row>
    <row r="15" spans="1:8" x14ac:dyDescent="0.2">
      <c r="A15" s="34"/>
      <c r="B15" s="30" t="s">
        <v>296</v>
      </c>
      <c r="C15" s="30" t="s">
        <v>295</v>
      </c>
      <c r="D15" t="s">
        <v>114</v>
      </c>
      <c r="E15" t="s">
        <v>147</v>
      </c>
      <c r="F15" s="30" t="s">
        <v>336</v>
      </c>
      <c r="G15" s="30" t="s">
        <v>2420</v>
      </c>
      <c r="H15" s="30" t="s">
        <v>2417</v>
      </c>
    </row>
    <row r="16" spans="1:8" x14ac:dyDescent="0.2">
      <c r="A16" s="34"/>
      <c r="B16" s="30" t="s">
        <v>294</v>
      </c>
      <c r="C16" s="30" t="s">
        <v>293</v>
      </c>
      <c r="D16" t="s">
        <v>114</v>
      </c>
      <c r="E16" t="s">
        <v>147</v>
      </c>
      <c r="F16" s="30" t="s">
        <v>336</v>
      </c>
      <c r="G16" s="30" t="s">
        <v>2420</v>
      </c>
      <c r="H16" s="30" t="s">
        <v>2417</v>
      </c>
    </row>
    <row r="17" spans="1:10" x14ac:dyDescent="0.2">
      <c r="A17" s="34"/>
      <c r="B17" s="30" t="s">
        <v>292</v>
      </c>
      <c r="C17" s="30" t="s">
        <v>291</v>
      </c>
      <c r="D17" t="s">
        <v>114</v>
      </c>
      <c r="E17" t="s">
        <v>147</v>
      </c>
      <c r="F17" s="30" t="s">
        <v>336</v>
      </c>
      <c r="G17" s="30" t="s">
        <v>2420</v>
      </c>
      <c r="H17" s="30" t="s">
        <v>2417</v>
      </c>
    </row>
    <row r="18" spans="1:10" x14ac:dyDescent="0.2">
      <c r="A18" s="34"/>
      <c r="B18" s="30" t="s">
        <v>290</v>
      </c>
      <c r="C18" s="30" t="s">
        <v>289</v>
      </c>
      <c r="D18" t="s">
        <v>114</v>
      </c>
      <c r="E18" t="s">
        <v>147</v>
      </c>
      <c r="F18" s="30" t="s">
        <v>336</v>
      </c>
      <c r="G18" s="30" t="s">
        <v>2420</v>
      </c>
      <c r="H18" s="30" t="s">
        <v>2417</v>
      </c>
    </row>
    <row r="19" spans="1:10" x14ac:dyDescent="0.2">
      <c r="A19" s="34"/>
      <c r="B19" s="30" t="s">
        <v>288</v>
      </c>
      <c r="C19" s="30" t="s">
        <v>287</v>
      </c>
      <c r="D19" t="s">
        <v>114</v>
      </c>
      <c r="E19" t="s">
        <v>147</v>
      </c>
      <c r="F19" s="30" t="s">
        <v>336</v>
      </c>
      <c r="G19" s="30" t="s">
        <v>2420</v>
      </c>
      <c r="H19" s="30" t="s">
        <v>2417</v>
      </c>
    </row>
    <row r="20" spans="1:10" x14ac:dyDescent="0.2">
      <c r="A20" s="34"/>
      <c r="B20" s="30" t="s">
        <v>286</v>
      </c>
      <c r="C20" s="30" t="s">
        <v>285</v>
      </c>
      <c r="D20" t="s">
        <v>114</v>
      </c>
      <c r="E20" t="s">
        <v>147</v>
      </c>
      <c r="F20" s="30" t="s">
        <v>336</v>
      </c>
      <c r="G20" s="30" t="s">
        <v>2420</v>
      </c>
      <c r="H20" s="30" t="s">
        <v>2417</v>
      </c>
    </row>
    <row r="21" spans="1:10" x14ac:dyDescent="0.2">
      <c r="A21" s="34"/>
      <c r="B21" s="30" t="s">
        <v>284</v>
      </c>
      <c r="C21" s="30" t="s">
        <v>283</v>
      </c>
      <c r="D21" t="s">
        <v>114</v>
      </c>
      <c r="E21" t="s">
        <v>147</v>
      </c>
      <c r="F21" s="30" t="s">
        <v>336</v>
      </c>
      <c r="G21" s="30" t="s">
        <v>2420</v>
      </c>
      <c r="H21" s="30" t="s">
        <v>2417</v>
      </c>
    </row>
    <row r="22" spans="1:10" x14ac:dyDescent="0.2">
      <c r="A22" s="34"/>
      <c r="B22" s="30" t="s">
        <v>282</v>
      </c>
      <c r="C22" s="30" t="s">
        <v>281</v>
      </c>
      <c r="D22" t="s">
        <v>114</v>
      </c>
      <c r="E22" t="s">
        <v>147</v>
      </c>
      <c r="F22" s="30" t="s">
        <v>336</v>
      </c>
      <c r="G22" s="30" t="s">
        <v>2420</v>
      </c>
      <c r="H22" s="30" t="s">
        <v>2417</v>
      </c>
    </row>
    <row r="23" spans="1:10" x14ac:dyDescent="0.2">
      <c r="A23" s="34"/>
      <c r="B23" s="30" t="s">
        <v>280</v>
      </c>
      <c r="C23" s="30" t="s">
        <v>279</v>
      </c>
      <c r="D23" t="s">
        <v>114</v>
      </c>
      <c r="E23" t="s">
        <v>147</v>
      </c>
      <c r="F23" s="30" t="s">
        <v>336</v>
      </c>
      <c r="G23" s="30" t="s">
        <v>2420</v>
      </c>
      <c r="H23" s="30" t="s">
        <v>2417</v>
      </c>
    </row>
    <row r="24" spans="1:10" x14ac:dyDescent="0.2">
      <c r="A24" s="34"/>
      <c r="B24" s="30" t="s">
        <v>278</v>
      </c>
      <c r="C24" s="30" t="s">
        <v>277</v>
      </c>
      <c r="D24" t="s">
        <v>114</v>
      </c>
      <c r="E24" t="s">
        <v>147</v>
      </c>
      <c r="F24" s="30" t="s">
        <v>336</v>
      </c>
      <c r="G24" s="30" t="s">
        <v>2420</v>
      </c>
      <c r="H24" s="30" t="s">
        <v>2417</v>
      </c>
      <c r="I24" s="9"/>
      <c r="J24" s="9"/>
    </row>
    <row r="25" spans="1:10" x14ac:dyDescent="0.2">
      <c r="A25" s="35"/>
      <c r="B25" s="30" t="s">
        <v>276</v>
      </c>
      <c r="C25" s="30" t="s">
        <v>275</v>
      </c>
      <c r="D25" t="s">
        <v>114</v>
      </c>
      <c r="E25" t="s">
        <v>147</v>
      </c>
      <c r="F25" s="30" t="s">
        <v>336</v>
      </c>
      <c r="G25" s="30" t="s">
        <v>2420</v>
      </c>
      <c r="H25" s="30" t="s">
        <v>2417</v>
      </c>
      <c r="I25" s="16"/>
      <c r="J25" s="16"/>
    </row>
    <row r="26" spans="1:10" x14ac:dyDescent="0.2">
      <c r="A26" s="35"/>
      <c r="B26" s="30" t="s">
        <v>274</v>
      </c>
      <c r="C26" s="30" t="s">
        <v>273</v>
      </c>
      <c r="D26" t="s">
        <v>114</v>
      </c>
      <c r="E26" t="s">
        <v>147</v>
      </c>
      <c r="F26" s="30" t="s">
        <v>336</v>
      </c>
      <c r="G26" s="30" t="s">
        <v>2420</v>
      </c>
      <c r="H26" s="30" t="s">
        <v>2417</v>
      </c>
      <c r="I26" s="16"/>
      <c r="J26" s="16"/>
    </row>
    <row r="27" spans="1:10" x14ac:dyDescent="0.2">
      <c r="A27" s="35"/>
      <c r="B27" s="30" t="s">
        <v>272</v>
      </c>
      <c r="C27" s="30" t="s">
        <v>271</v>
      </c>
      <c r="D27" t="s">
        <v>114</v>
      </c>
      <c r="E27" t="s">
        <v>147</v>
      </c>
      <c r="F27" s="30" t="s">
        <v>2449</v>
      </c>
      <c r="G27" s="30" t="s">
        <v>2420</v>
      </c>
      <c r="H27" s="30" t="s">
        <v>2417</v>
      </c>
      <c r="I27" s="16"/>
      <c r="J27" s="16"/>
    </row>
    <row r="28" spans="1:10" x14ac:dyDescent="0.2">
      <c r="A28" s="35"/>
      <c r="B28" s="30" t="s">
        <v>270</v>
      </c>
      <c r="C28" s="30" t="s">
        <v>269</v>
      </c>
      <c r="D28" t="s">
        <v>114</v>
      </c>
      <c r="E28" t="s">
        <v>147</v>
      </c>
      <c r="F28" s="323" t="s">
        <v>336</v>
      </c>
      <c r="G28" s="323" t="s">
        <v>2418</v>
      </c>
      <c r="H28" s="30" t="s">
        <v>2417</v>
      </c>
      <c r="I28" s="16"/>
      <c r="J28" s="16"/>
    </row>
    <row r="29" spans="1:10" x14ac:dyDescent="0.2">
      <c r="A29" s="33" t="s">
        <v>268</v>
      </c>
      <c r="D29" t="s">
        <v>2450</v>
      </c>
      <c r="E29" t="s">
        <v>2450</v>
      </c>
      <c r="H29" s="30" t="s">
        <v>2417</v>
      </c>
      <c r="I29" s="16"/>
      <c r="J29" s="16"/>
    </row>
    <row r="30" spans="1:10" x14ac:dyDescent="0.2">
      <c r="A30" s="9"/>
      <c r="B30" s="30" t="s">
        <v>267</v>
      </c>
      <c r="C30" s="30" t="s">
        <v>266</v>
      </c>
      <c r="D30" t="s">
        <v>114</v>
      </c>
      <c r="E30" t="s">
        <v>147</v>
      </c>
      <c r="F30" s="30" t="s">
        <v>1848</v>
      </c>
      <c r="G30" s="30" t="s">
        <v>2420</v>
      </c>
      <c r="H30" s="30" t="s">
        <v>2417</v>
      </c>
      <c r="I30" s="16"/>
      <c r="J30" s="16"/>
    </row>
    <row r="31" spans="1:10" x14ac:dyDescent="0.2">
      <c r="A31" s="9"/>
      <c r="B31" s="30" t="s">
        <v>265</v>
      </c>
      <c r="C31" s="30" t="s">
        <v>264</v>
      </c>
      <c r="D31" t="s">
        <v>114</v>
      </c>
      <c r="E31" t="s">
        <v>147</v>
      </c>
      <c r="F31" s="30" t="s">
        <v>1848</v>
      </c>
      <c r="G31" s="30" t="s">
        <v>2420</v>
      </c>
      <c r="H31" s="30" t="s">
        <v>2417</v>
      </c>
      <c r="I31" s="16"/>
      <c r="J31" s="16"/>
    </row>
    <row r="32" spans="1:10" x14ac:dyDescent="0.2">
      <c r="A32" s="33" t="s">
        <v>263</v>
      </c>
      <c r="D32" t="s">
        <v>2450</v>
      </c>
      <c r="E32" t="s">
        <v>2450</v>
      </c>
      <c r="H32" s="30" t="s">
        <v>2417</v>
      </c>
      <c r="I32" s="16"/>
      <c r="J32" s="16"/>
    </row>
    <row r="33" spans="1:10" x14ac:dyDescent="0.2">
      <c r="A33" s="34"/>
      <c r="B33" s="30" t="s">
        <v>262</v>
      </c>
      <c r="C33" s="30" t="s">
        <v>261</v>
      </c>
      <c r="D33" t="s">
        <v>114</v>
      </c>
      <c r="E33" t="s">
        <v>147</v>
      </c>
      <c r="F33" s="30" t="s">
        <v>336</v>
      </c>
      <c r="G33" s="30" t="s">
        <v>2420</v>
      </c>
      <c r="H33" s="30" t="s">
        <v>2417</v>
      </c>
    </row>
    <row r="34" spans="1:10" x14ac:dyDescent="0.2">
      <c r="A34" s="34"/>
      <c r="B34" s="30" t="s">
        <v>260</v>
      </c>
      <c r="C34" s="30" t="s">
        <v>259</v>
      </c>
      <c r="D34" t="s">
        <v>114</v>
      </c>
      <c r="E34" t="s">
        <v>147</v>
      </c>
      <c r="F34" s="30" t="s">
        <v>336</v>
      </c>
      <c r="G34" s="30" t="s">
        <v>2420</v>
      </c>
      <c r="H34" s="30" t="s">
        <v>2417</v>
      </c>
    </row>
    <row r="35" spans="1:10" x14ac:dyDescent="0.2">
      <c r="A35" s="34"/>
      <c r="B35" s="30" t="s">
        <v>258</v>
      </c>
      <c r="C35" s="30" t="s">
        <v>257</v>
      </c>
      <c r="D35" t="s">
        <v>114</v>
      </c>
      <c r="E35" t="s">
        <v>147</v>
      </c>
      <c r="F35" s="30" t="s">
        <v>336</v>
      </c>
      <c r="G35" s="30" t="s">
        <v>2420</v>
      </c>
      <c r="H35" s="30" t="s">
        <v>2417</v>
      </c>
    </row>
    <row r="36" spans="1:10" x14ac:dyDescent="0.2">
      <c r="A36" s="34"/>
      <c r="B36" s="30" t="s">
        <v>1906</v>
      </c>
      <c r="C36" s="30" t="s">
        <v>1904</v>
      </c>
      <c r="D36" t="s">
        <v>114</v>
      </c>
      <c r="E36" t="s">
        <v>147</v>
      </c>
      <c r="F36" s="30" t="s">
        <v>336</v>
      </c>
      <c r="G36" s="30" t="s">
        <v>2420</v>
      </c>
      <c r="H36" s="30" t="s">
        <v>2417</v>
      </c>
    </row>
    <row r="37" spans="1:10" x14ac:dyDescent="0.2">
      <c r="A37" s="9"/>
      <c r="B37" s="30" t="s">
        <v>256</v>
      </c>
      <c r="C37" s="30" t="s">
        <v>255</v>
      </c>
      <c r="D37" t="s">
        <v>114</v>
      </c>
      <c r="E37" t="s">
        <v>147</v>
      </c>
      <c r="F37" s="323" t="s">
        <v>336</v>
      </c>
      <c r="G37" s="323" t="s">
        <v>2418</v>
      </c>
      <c r="H37" s="30" t="s">
        <v>2417</v>
      </c>
      <c r="I37" s="16"/>
      <c r="J37" s="16"/>
    </row>
    <row r="38" spans="1:10" x14ac:dyDescent="0.2">
      <c r="A38" s="9"/>
      <c r="B38" s="30" t="s">
        <v>254</v>
      </c>
      <c r="C38" s="30" t="s">
        <v>253</v>
      </c>
      <c r="D38" t="s">
        <v>114</v>
      </c>
      <c r="E38" t="s">
        <v>147</v>
      </c>
      <c r="F38" s="30" t="s">
        <v>336</v>
      </c>
      <c r="G38" s="30" t="s">
        <v>2420</v>
      </c>
      <c r="H38" s="30" t="s">
        <v>2417</v>
      </c>
      <c r="I38" s="16"/>
      <c r="J38" s="16"/>
    </row>
    <row r="39" spans="1:10" x14ac:dyDescent="0.2">
      <c r="B39" s="30" t="s">
        <v>252</v>
      </c>
      <c r="C39" s="30" t="s">
        <v>251</v>
      </c>
      <c r="D39" t="s">
        <v>114</v>
      </c>
      <c r="E39" t="s">
        <v>147</v>
      </c>
      <c r="F39" s="30" t="s">
        <v>336</v>
      </c>
      <c r="G39" s="30" t="s">
        <v>2420</v>
      </c>
      <c r="H39" s="30" t="s">
        <v>2417</v>
      </c>
    </row>
    <row r="40" spans="1:10" x14ac:dyDescent="0.2">
      <c r="B40" s="30" t="s">
        <v>250</v>
      </c>
      <c r="C40" s="30" t="s">
        <v>249</v>
      </c>
      <c r="D40" t="s">
        <v>114</v>
      </c>
      <c r="E40" t="s">
        <v>147</v>
      </c>
      <c r="F40" s="30" t="s">
        <v>336</v>
      </c>
      <c r="G40" s="30" t="s">
        <v>2420</v>
      </c>
      <c r="H40" s="30" t="s">
        <v>2417</v>
      </c>
    </row>
    <row r="41" spans="1:10" x14ac:dyDescent="0.2">
      <c r="B41" s="30" t="s">
        <v>248</v>
      </c>
      <c r="C41" s="30" t="s">
        <v>247</v>
      </c>
      <c r="D41" t="s">
        <v>114</v>
      </c>
      <c r="E41" t="s">
        <v>147</v>
      </c>
      <c r="F41" s="30" t="s">
        <v>336</v>
      </c>
      <c r="G41" s="30" t="s">
        <v>2420</v>
      </c>
      <c r="H41" s="30" t="s">
        <v>2417</v>
      </c>
    </row>
    <row r="42" spans="1:10" x14ac:dyDescent="0.2">
      <c r="B42" s="30" t="s">
        <v>246</v>
      </c>
      <c r="C42" s="30" t="s">
        <v>245</v>
      </c>
      <c r="D42" t="s">
        <v>114</v>
      </c>
      <c r="E42" t="s">
        <v>147</v>
      </c>
      <c r="F42" s="30" t="s">
        <v>336</v>
      </c>
      <c r="G42" s="30" t="s">
        <v>2420</v>
      </c>
      <c r="H42" s="30" t="s">
        <v>2417</v>
      </c>
    </row>
    <row r="43" spans="1:10" x14ac:dyDescent="0.2">
      <c r="B43" s="30" t="s">
        <v>244</v>
      </c>
      <c r="C43" s="30" t="s">
        <v>243</v>
      </c>
      <c r="D43" t="s">
        <v>114</v>
      </c>
      <c r="E43" t="s">
        <v>147</v>
      </c>
      <c r="F43" s="30" t="s">
        <v>336</v>
      </c>
      <c r="G43" s="30" t="s">
        <v>2420</v>
      </c>
      <c r="H43" s="30" t="s">
        <v>2417</v>
      </c>
    </row>
    <row r="44" spans="1:10" x14ac:dyDescent="0.2">
      <c r="B44" s="30" t="s">
        <v>242</v>
      </c>
      <c r="C44" s="30" t="s">
        <v>241</v>
      </c>
      <c r="D44" t="s">
        <v>114</v>
      </c>
      <c r="E44" t="s">
        <v>147</v>
      </c>
      <c r="F44" s="30" t="s">
        <v>336</v>
      </c>
      <c r="G44" s="30" t="s">
        <v>2420</v>
      </c>
      <c r="H44" s="30" t="s">
        <v>2417</v>
      </c>
    </row>
    <row r="45" spans="1:10" x14ac:dyDescent="0.2">
      <c r="B45" s="30" t="s">
        <v>240</v>
      </c>
      <c r="C45" s="30" t="s">
        <v>239</v>
      </c>
      <c r="D45" t="s">
        <v>114</v>
      </c>
      <c r="E45" t="s">
        <v>147</v>
      </c>
      <c r="F45" s="30" t="s">
        <v>336</v>
      </c>
      <c r="G45" s="30" t="s">
        <v>2420</v>
      </c>
      <c r="H45" s="30" t="s">
        <v>2417</v>
      </c>
    </row>
    <row r="46" spans="1:10" x14ac:dyDescent="0.2">
      <c r="B46" s="30" t="s">
        <v>238</v>
      </c>
      <c r="C46" s="30" t="s">
        <v>237</v>
      </c>
      <c r="D46" t="s">
        <v>114</v>
      </c>
      <c r="E46" t="s">
        <v>147</v>
      </c>
      <c r="F46" s="30" t="s">
        <v>336</v>
      </c>
      <c r="G46" s="30" t="s">
        <v>2420</v>
      </c>
      <c r="H46" s="30" t="s">
        <v>2417</v>
      </c>
    </row>
    <row r="47" spans="1:10" x14ac:dyDescent="0.2">
      <c r="B47" s="30" t="s">
        <v>236</v>
      </c>
      <c r="C47" s="30" t="s">
        <v>235</v>
      </c>
      <c r="D47" t="s">
        <v>114</v>
      </c>
      <c r="E47" t="s">
        <v>147</v>
      </c>
      <c r="F47" s="30" t="s">
        <v>336</v>
      </c>
      <c r="G47" s="30" t="s">
        <v>2420</v>
      </c>
      <c r="H47" s="30" t="s">
        <v>2417</v>
      </c>
    </row>
    <row r="48" spans="1:10" x14ac:dyDescent="0.2">
      <c r="B48" s="30" t="s">
        <v>1879</v>
      </c>
      <c r="C48" s="30" t="s">
        <v>2176</v>
      </c>
      <c r="D48" t="s">
        <v>114</v>
      </c>
      <c r="E48" t="s">
        <v>147</v>
      </c>
      <c r="F48" s="30" t="s">
        <v>336</v>
      </c>
      <c r="G48" s="30" t="s">
        <v>2420</v>
      </c>
      <c r="H48" s="30" t="s">
        <v>2417</v>
      </c>
    </row>
    <row r="49" spans="1:8" x14ac:dyDescent="0.2">
      <c r="B49" s="30" t="s">
        <v>234</v>
      </c>
      <c r="C49" s="30" t="s">
        <v>233</v>
      </c>
      <c r="D49" t="s">
        <v>114</v>
      </c>
      <c r="E49" t="s">
        <v>147</v>
      </c>
      <c r="F49" s="30" t="s">
        <v>336</v>
      </c>
      <c r="G49" s="30" t="s">
        <v>2420</v>
      </c>
      <c r="H49" s="30" t="s">
        <v>2417</v>
      </c>
    </row>
    <row r="50" spans="1:8" x14ac:dyDescent="0.2">
      <c r="B50" s="30" t="s">
        <v>1907</v>
      </c>
      <c r="C50" s="30" t="s">
        <v>1908</v>
      </c>
      <c r="D50" t="s">
        <v>114</v>
      </c>
      <c r="E50" t="s">
        <v>147</v>
      </c>
      <c r="F50" s="30" t="s">
        <v>336</v>
      </c>
      <c r="G50" s="30" t="s">
        <v>2420</v>
      </c>
      <c r="H50" s="30" t="s">
        <v>2417</v>
      </c>
    </row>
    <row r="51" spans="1:8" x14ac:dyDescent="0.2">
      <c r="B51" s="30" t="s">
        <v>232</v>
      </c>
      <c r="C51" s="30" t="s">
        <v>231</v>
      </c>
      <c r="D51" t="s">
        <v>114</v>
      </c>
      <c r="E51" t="s">
        <v>147</v>
      </c>
      <c r="F51" s="30" t="s">
        <v>336</v>
      </c>
      <c r="G51" s="30" t="s">
        <v>2420</v>
      </c>
      <c r="H51" s="30" t="s">
        <v>2417</v>
      </c>
    </row>
    <row r="52" spans="1:8" x14ac:dyDescent="0.2">
      <c r="B52" s="30" t="s">
        <v>230</v>
      </c>
      <c r="C52" s="30" t="s">
        <v>229</v>
      </c>
      <c r="D52" t="s">
        <v>114</v>
      </c>
      <c r="E52" t="s">
        <v>147</v>
      </c>
      <c r="F52" s="30" t="s">
        <v>336</v>
      </c>
      <c r="G52" s="30" t="s">
        <v>2420</v>
      </c>
      <c r="H52" s="30" t="s">
        <v>2417</v>
      </c>
    </row>
    <row r="53" spans="1:8" ht="12" customHeight="1" x14ac:dyDescent="0.2">
      <c r="B53" s="30" t="s">
        <v>228</v>
      </c>
      <c r="C53" s="30" t="s">
        <v>227</v>
      </c>
      <c r="D53" t="s">
        <v>114</v>
      </c>
      <c r="E53" t="s">
        <v>147</v>
      </c>
      <c r="F53" s="30" t="s">
        <v>336</v>
      </c>
      <c r="G53" s="30" t="s">
        <v>2420</v>
      </c>
      <c r="H53" s="30" t="s">
        <v>2417</v>
      </c>
    </row>
    <row r="54" spans="1:8" ht="12" customHeight="1" x14ac:dyDescent="0.2">
      <c r="B54" s="30" t="s">
        <v>226</v>
      </c>
      <c r="C54" s="30" t="s">
        <v>225</v>
      </c>
      <c r="D54" t="s">
        <v>114</v>
      </c>
      <c r="E54" t="s">
        <v>147</v>
      </c>
      <c r="F54" s="323" t="s">
        <v>336</v>
      </c>
      <c r="G54" s="323" t="s">
        <v>2418</v>
      </c>
      <c r="H54" s="30" t="s">
        <v>2417</v>
      </c>
    </row>
    <row r="55" spans="1:8" x14ac:dyDescent="0.2">
      <c r="A55" s="33" t="s">
        <v>224</v>
      </c>
      <c r="D55" t="s">
        <v>2450</v>
      </c>
      <c r="E55" t="s">
        <v>2450</v>
      </c>
    </row>
    <row r="56" spans="1:8" ht="11.45" customHeight="1" x14ac:dyDescent="0.2">
      <c r="B56" s="30" t="s">
        <v>2512</v>
      </c>
      <c r="C56" s="30" t="s">
        <v>2513</v>
      </c>
      <c r="D56" t="s">
        <v>114</v>
      </c>
      <c r="E56" t="s">
        <v>147</v>
      </c>
      <c r="F56" s="30" t="s">
        <v>336</v>
      </c>
      <c r="G56" s="30" t="s">
        <v>2420</v>
      </c>
      <c r="H56" s="30" t="s">
        <v>2417</v>
      </c>
    </row>
    <row r="57" spans="1:8" ht="11.45" customHeight="1" x14ac:dyDescent="0.2">
      <c r="B57" s="30" t="s">
        <v>2514</v>
      </c>
      <c r="C57" s="30" t="s">
        <v>2515</v>
      </c>
      <c r="D57" t="s">
        <v>114</v>
      </c>
      <c r="E57" t="s">
        <v>147</v>
      </c>
      <c r="F57" s="30" t="s">
        <v>336</v>
      </c>
      <c r="G57" s="30" t="s">
        <v>2420</v>
      </c>
      <c r="H57" s="30" t="s">
        <v>2417</v>
      </c>
    </row>
    <row r="58" spans="1:8" ht="11.45" customHeight="1" x14ac:dyDescent="0.2">
      <c r="B58" s="30" t="s">
        <v>223</v>
      </c>
      <c r="C58" s="30" t="s">
        <v>222</v>
      </c>
      <c r="D58" t="s">
        <v>114</v>
      </c>
      <c r="E58" t="s">
        <v>147</v>
      </c>
      <c r="F58" s="30" t="s">
        <v>336</v>
      </c>
      <c r="G58" s="30" t="s">
        <v>2420</v>
      </c>
      <c r="H58" s="30" t="s">
        <v>2417</v>
      </c>
    </row>
    <row r="59" spans="1:8" ht="11.45" customHeight="1" x14ac:dyDescent="0.2">
      <c r="B59" s="30" t="s">
        <v>221</v>
      </c>
      <c r="C59" s="30" t="s">
        <v>220</v>
      </c>
      <c r="D59" t="s">
        <v>114</v>
      </c>
      <c r="E59" t="s">
        <v>147</v>
      </c>
      <c r="F59" s="30" t="s">
        <v>336</v>
      </c>
      <c r="G59" s="30" t="s">
        <v>2420</v>
      </c>
      <c r="H59" s="30" t="s">
        <v>2417</v>
      </c>
    </row>
    <row r="60" spans="1:8" x14ac:dyDescent="0.2">
      <c r="B60" s="30" t="s">
        <v>219</v>
      </c>
      <c r="C60" s="30" t="s">
        <v>218</v>
      </c>
      <c r="D60" t="s">
        <v>114</v>
      </c>
      <c r="E60" t="s">
        <v>147</v>
      </c>
      <c r="F60" s="30" t="s">
        <v>336</v>
      </c>
      <c r="G60" s="30" t="s">
        <v>2420</v>
      </c>
      <c r="H60" s="30" t="s">
        <v>2417</v>
      </c>
    </row>
    <row r="61" spans="1:8" x14ac:dyDescent="0.2">
      <c r="B61" s="30" t="s">
        <v>217</v>
      </c>
      <c r="C61" s="30" t="s">
        <v>216</v>
      </c>
      <c r="D61" t="s">
        <v>114</v>
      </c>
      <c r="E61" t="s">
        <v>147</v>
      </c>
      <c r="F61" s="30" t="s">
        <v>336</v>
      </c>
      <c r="G61" s="30" t="s">
        <v>2420</v>
      </c>
      <c r="H61" s="30" t="s">
        <v>2417</v>
      </c>
    </row>
    <row r="62" spans="1:8" x14ac:dyDescent="0.2">
      <c r="B62" s="30" t="s">
        <v>215</v>
      </c>
      <c r="C62" s="30" t="s">
        <v>214</v>
      </c>
      <c r="D62" t="s">
        <v>114</v>
      </c>
      <c r="E62" t="s">
        <v>147</v>
      </c>
      <c r="F62" s="30" t="s">
        <v>336</v>
      </c>
      <c r="G62" s="30" t="s">
        <v>2420</v>
      </c>
      <c r="H62" s="30" t="s">
        <v>2417</v>
      </c>
    </row>
    <row r="63" spans="1:8" x14ac:dyDescent="0.2">
      <c r="A63" s="33" t="s">
        <v>2438</v>
      </c>
      <c r="D63" t="s">
        <v>2450</v>
      </c>
      <c r="E63" t="s">
        <v>2450</v>
      </c>
    </row>
    <row r="64" spans="1:8" x14ac:dyDescent="0.2">
      <c r="B64" s="30" t="s">
        <v>2441</v>
      </c>
      <c r="C64" s="30" t="s">
        <v>2439</v>
      </c>
      <c r="D64" t="s">
        <v>114</v>
      </c>
      <c r="E64" t="s">
        <v>147</v>
      </c>
      <c r="F64" s="30" t="s">
        <v>336</v>
      </c>
      <c r="G64" s="30" t="s">
        <v>2420</v>
      </c>
      <c r="H64" s="30" t="s">
        <v>2417</v>
      </c>
    </row>
    <row r="65" spans="1:8" x14ac:dyDescent="0.2">
      <c r="B65" s="30" t="s">
        <v>2442</v>
      </c>
      <c r="C65" s="30" t="s">
        <v>2440</v>
      </c>
      <c r="D65" t="s">
        <v>114</v>
      </c>
      <c r="E65" t="s">
        <v>147</v>
      </c>
      <c r="F65" s="30" t="s">
        <v>336</v>
      </c>
      <c r="G65" s="30" t="s">
        <v>2420</v>
      </c>
      <c r="H65" s="30" t="s">
        <v>2417</v>
      </c>
    </row>
    <row r="66" spans="1:8" x14ac:dyDescent="0.2">
      <c r="A66" s="33" t="s">
        <v>213</v>
      </c>
      <c r="D66" t="s">
        <v>2450</v>
      </c>
      <c r="E66" t="s">
        <v>2450</v>
      </c>
    </row>
    <row r="67" spans="1:8" x14ac:dyDescent="0.2">
      <c r="A67" s="35"/>
      <c r="B67" s="30" t="str">
        <f>EskomCoalPrice2019!K36</f>
        <v>MINCSARNOVRS</v>
      </c>
      <c r="C67" s="30" t="str">
        <f>"Coal Supply for "&amp;EskomCoalPrice2019!J36&amp;"-"&amp;EskomCoalPrice2019!I36</f>
        <v>Coal Supply for Arnot-various</v>
      </c>
      <c r="D67" t="s">
        <v>114</v>
      </c>
      <c r="E67" s="330" t="s">
        <v>2444</v>
      </c>
      <c r="F67" s="30" t="s">
        <v>119</v>
      </c>
      <c r="G67" s="30" t="s">
        <v>2419</v>
      </c>
      <c r="H67" s="30" t="s">
        <v>2417</v>
      </c>
    </row>
    <row r="68" spans="1:8" x14ac:dyDescent="0.2">
      <c r="A68" s="35"/>
      <c r="B68" s="30" t="str">
        <f>EskomCoalPrice2019!K37</f>
        <v>MINCSCAMDVRS</v>
      </c>
      <c r="C68" s="30" t="str">
        <f>"Coal Supply for "&amp;EskomCoalPrice2019!J37&amp;"-"&amp;EskomCoalPrice2019!I37</f>
        <v>Coal Supply for Camden-various</v>
      </c>
      <c r="D68" t="s">
        <v>114</v>
      </c>
      <c r="E68" s="330" t="s">
        <v>2444</v>
      </c>
      <c r="F68" s="30" t="s">
        <v>119</v>
      </c>
      <c r="G68" s="30" t="s">
        <v>2419</v>
      </c>
      <c r="H68" s="30" t="s">
        <v>2417</v>
      </c>
    </row>
    <row r="69" spans="1:8" x14ac:dyDescent="0.2">
      <c r="A69" s="35"/>
      <c r="B69" s="30" t="str">
        <f>EskomCoalPrice2019!K38</f>
        <v>MINCSDUVHSER</v>
      </c>
      <c r="C69" s="30" t="str">
        <f>"Coal Supply for "&amp;EskomCoalPrice2019!J38&amp;"-"&amp;EskomCoalPrice2019!I38</f>
        <v>Coal Supply for Duvha-Seriti</v>
      </c>
      <c r="D69" t="s">
        <v>114</v>
      </c>
      <c r="E69" s="330" t="s">
        <v>2444</v>
      </c>
      <c r="F69" s="30" t="s">
        <v>119</v>
      </c>
      <c r="G69" s="30" t="s">
        <v>2419</v>
      </c>
      <c r="H69" s="30" t="s">
        <v>2417</v>
      </c>
    </row>
    <row r="70" spans="1:8" x14ac:dyDescent="0.2">
      <c r="A70" s="35"/>
      <c r="B70" s="30" t="str">
        <f>EskomCoalPrice2019!K39</f>
        <v>MINCSDUVHVRS</v>
      </c>
      <c r="C70" s="30" t="str">
        <f>"Coal Supply for "&amp;EskomCoalPrice2019!J39&amp;"-"&amp;EskomCoalPrice2019!I39</f>
        <v>Coal Supply for Duvha-various</v>
      </c>
      <c r="D70" t="s">
        <v>114</v>
      </c>
      <c r="E70" s="330" t="s">
        <v>2444</v>
      </c>
      <c r="F70" s="30" t="s">
        <v>119</v>
      </c>
      <c r="G70" s="30" t="s">
        <v>2419</v>
      </c>
      <c r="H70" s="30" t="s">
        <v>2417</v>
      </c>
    </row>
    <row r="71" spans="1:8" x14ac:dyDescent="0.2">
      <c r="A71" s="35"/>
      <c r="B71" s="30" t="str">
        <f>EskomCoalPrice2019!K40</f>
        <v>MINCSGROOVRS</v>
      </c>
      <c r="C71" s="30" t="str">
        <f>"Coal Supply for "&amp;EskomCoalPrice2019!J40&amp;"-"&amp;EskomCoalPrice2019!I40</f>
        <v>Coal Supply for Grootvlei-various</v>
      </c>
      <c r="D71" t="s">
        <v>114</v>
      </c>
      <c r="E71" s="330" t="s">
        <v>2444</v>
      </c>
      <c r="F71" s="30" t="s">
        <v>119</v>
      </c>
      <c r="G71" s="30" t="s">
        <v>2419</v>
      </c>
      <c r="H71" s="30" t="s">
        <v>2417</v>
      </c>
    </row>
    <row r="72" spans="1:8" x14ac:dyDescent="0.2">
      <c r="A72" s="35"/>
      <c r="B72" s="30" t="str">
        <f>EskomCoalPrice2019!K41</f>
        <v>MINCSHENDVRS</v>
      </c>
      <c r="C72" s="30" t="str">
        <f>"Coal Supply for "&amp;EskomCoalPrice2019!J41&amp;"-"&amp;EskomCoalPrice2019!I41</f>
        <v>Coal Supply for Hendrina-various</v>
      </c>
      <c r="D72" t="s">
        <v>114</v>
      </c>
      <c r="E72" s="330" t="s">
        <v>2444</v>
      </c>
      <c r="F72" s="30" t="s">
        <v>119</v>
      </c>
      <c r="G72" s="30" t="s">
        <v>2419</v>
      </c>
      <c r="H72" s="30" t="s">
        <v>2417</v>
      </c>
    </row>
    <row r="73" spans="1:8" x14ac:dyDescent="0.2">
      <c r="A73" s="35"/>
      <c r="B73" s="30" t="str">
        <f>EskomCoalPrice2019!K42</f>
        <v>MINCSKENDS32</v>
      </c>
      <c r="C73" s="30" t="str">
        <f>"Coal Supply for "&amp;EskomCoalPrice2019!J42&amp;"-"&amp;EskomCoalPrice2019!I42</f>
        <v>Coal Supply for Kendal-South 32</v>
      </c>
      <c r="D73" t="s">
        <v>114</v>
      </c>
      <c r="E73" s="330" t="s">
        <v>2444</v>
      </c>
      <c r="F73" s="30" t="s">
        <v>119</v>
      </c>
      <c r="G73" s="30" t="s">
        <v>2419</v>
      </c>
      <c r="H73" s="30" t="s">
        <v>2417</v>
      </c>
    </row>
    <row r="74" spans="1:8" x14ac:dyDescent="0.2">
      <c r="A74" s="35"/>
      <c r="B74" s="30" t="str">
        <f>EskomCoalPrice2019!K43</f>
        <v>MINCSKENDVRS</v>
      </c>
      <c r="C74" s="30" t="str">
        <f>"Coal Supply for "&amp;EskomCoalPrice2019!J43&amp;"-"&amp;EskomCoalPrice2019!I43</f>
        <v>Coal Supply for Kendal-various</v>
      </c>
      <c r="D74" t="s">
        <v>114</v>
      </c>
      <c r="E74" s="330" t="s">
        <v>2444</v>
      </c>
      <c r="F74" s="30" t="s">
        <v>119</v>
      </c>
      <c r="G74" s="30" t="s">
        <v>2419</v>
      </c>
      <c r="H74" s="30" t="s">
        <v>2417</v>
      </c>
    </row>
    <row r="75" spans="1:8" x14ac:dyDescent="0.2">
      <c r="A75" s="35"/>
      <c r="B75" s="30" t="str">
        <f>EskomCoalPrice2019!K44</f>
        <v>MINCSKOMAVRS</v>
      </c>
      <c r="C75" s="30" t="str">
        <f>"Coal Supply for "&amp;EskomCoalPrice2019!J44&amp;"-"&amp;EskomCoalPrice2019!I44</f>
        <v>Coal Supply for Komati-various</v>
      </c>
      <c r="D75" t="s">
        <v>114</v>
      </c>
      <c r="E75" s="330" t="s">
        <v>2444</v>
      </c>
      <c r="F75" s="30" t="s">
        <v>119</v>
      </c>
      <c r="G75" s="30" t="s">
        <v>2419</v>
      </c>
      <c r="H75" s="30" t="s">
        <v>2417</v>
      </c>
    </row>
    <row r="76" spans="1:8" x14ac:dyDescent="0.2">
      <c r="A76" s="35"/>
      <c r="B76" s="30" t="str">
        <f>EskomCoalPrice2019!K45</f>
        <v>MINCSKRIESER</v>
      </c>
      <c r="C76" s="30" t="str">
        <f>"Coal Supply for "&amp;EskomCoalPrice2019!J45&amp;"-"&amp;EskomCoalPrice2019!I45</f>
        <v xml:space="preserve">Coal Supply for Kriel-Seriti </v>
      </c>
      <c r="D76" t="s">
        <v>114</v>
      </c>
      <c r="E76" s="330" t="s">
        <v>2444</v>
      </c>
      <c r="F76" s="30" t="s">
        <v>119</v>
      </c>
      <c r="G76" s="30" t="s">
        <v>2419</v>
      </c>
      <c r="H76" s="30" t="s">
        <v>2417</v>
      </c>
    </row>
    <row r="77" spans="1:8" x14ac:dyDescent="0.2">
      <c r="A77" s="35"/>
      <c r="B77" s="30" t="str">
        <f>EskomCoalPrice2019!K46</f>
        <v>MINCSKRIEVRS</v>
      </c>
      <c r="C77" s="30" t="str">
        <f>"Coal Supply for "&amp;EskomCoalPrice2019!J46&amp;"-"&amp;EskomCoalPrice2019!I46</f>
        <v>Coal Supply for Kriel-various</v>
      </c>
      <c r="D77" t="s">
        <v>114</v>
      </c>
      <c r="E77" s="330" t="s">
        <v>2444</v>
      </c>
      <c r="F77" s="30" t="s">
        <v>119</v>
      </c>
      <c r="G77" s="30" t="s">
        <v>2419</v>
      </c>
      <c r="H77" s="30" t="s">
        <v>2417</v>
      </c>
    </row>
    <row r="78" spans="1:8" x14ac:dyDescent="0.2">
      <c r="B78" s="30" t="s">
        <v>212</v>
      </c>
      <c r="C78" s="30" t="s">
        <v>211</v>
      </c>
      <c r="D78" t="s">
        <v>114</v>
      </c>
      <c r="E78" s="330" t="s">
        <v>2444</v>
      </c>
      <c r="F78" s="30" t="s">
        <v>119</v>
      </c>
      <c r="G78" s="30" t="s">
        <v>2419</v>
      </c>
      <c r="H78" s="30" t="s">
        <v>2417</v>
      </c>
    </row>
    <row r="79" spans="1:8" x14ac:dyDescent="0.2">
      <c r="B79" s="30" t="s">
        <v>210</v>
      </c>
      <c r="C79" s="30" t="s">
        <v>209</v>
      </c>
      <c r="D79" t="s">
        <v>114</v>
      </c>
      <c r="E79" s="330" t="s">
        <v>2444</v>
      </c>
      <c r="F79" s="30" t="s">
        <v>119</v>
      </c>
      <c r="G79" s="30" t="s">
        <v>2419</v>
      </c>
      <c r="H79" s="30" t="s">
        <v>2417</v>
      </c>
    </row>
    <row r="80" spans="1:8" x14ac:dyDescent="0.2">
      <c r="B80" s="30" t="str">
        <f>EskomCoalPrice2019!K49</f>
        <v>MINCSLETHSER</v>
      </c>
      <c r="C80" s="30" t="str">
        <f>"Coal Supply for "&amp;EskomCoalPrice2019!J49&amp;"-"&amp;EskomCoalPrice2019!I49</f>
        <v>Coal Supply for Lethabo-Seriti</v>
      </c>
      <c r="D80" t="s">
        <v>114</v>
      </c>
      <c r="E80" s="330" t="s">
        <v>2444</v>
      </c>
      <c r="F80" s="30" t="s">
        <v>119</v>
      </c>
      <c r="G80" s="30" t="s">
        <v>2419</v>
      </c>
      <c r="H80" s="30" t="s">
        <v>2417</v>
      </c>
    </row>
    <row r="81" spans="1:8" x14ac:dyDescent="0.2">
      <c r="B81" s="30" t="str">
        <f>EskomCoalPrice2019!K50</f>
        <v>MINCSMAJUVRS</v>
      </c>
      <c r="C81" s="30" t="str">
        <f>"Coal Supply for "&amp;EskomCoalPrice2019!J50&amp;"-"&amp;EskomCoalPrice2019!I50</f>
        <v>Coal Supply for Majuba-various</v>
      </c>
      <c r="D81" t="s">
        <v>114</v>
      </c>
      <c r="E81" s="330" t="s">
        <v>2444</v>
      </c>
      <c r="F81" s="30" t="s">
        <v>119</v>
      </c>
      <c r="G81" s="30" t="s">
        <v>2419</v>
      </c>
      <c r="H81" s="30" t="s">
        <v>2417</v>
      </c>
    </row>
    <row r="82" spans="1:8" x14ac:dyDescent="0.2">
      <c r="B82" s="30" t="str">
        <f>EskomCoalPrice2019!K51</f>
        <v>MINCSMATIEXX</v>
      </c>
      <c r="C82" s="30" t="str">
        <f>"Coal Supply for "&amp;EskomCoalPrice2019!J51&amp;"-"&amp;EskomCoalPrice2019!I51</f>
        <v xml:space="preserve">Coal Supply for Matimba-Exxaro </v>
      </c>
      <c r="D82" t="s">
        <v>114</v>
      </c>
      <c r="E82" s="330" t="s">
        <v>2444</v>
      </c>
      <c r="F82" s="30" t="s">
        <v>119</v>
      </c>
      <c r="G82" s="30" t="s">
        <v>2419</v>
      </c>
      <c r="H82" s="30" t="s">
        <v>2417</v>
      </c>
    </row>
    <row r="83" spans="1:8" x14ac:dyDescent="0.2">
      <c r="B83" s="30" t="str">
        <f>EskomCoalPrice2019!K52</f>
        <v>MINCSMATLEXX</v>
      </c>
      <c r="C83" s="30" t="str">
        <f>"Coal Supply for "&amp;EskomCoalPrice2019!J52&amp;"-"&amp;EskomCoalPrice2019!I52</f>
        <v>Coal Supply for Matla-Exxaro</v>
      </c>
      <c r="D83" t="s">
        <v>114</v>
      </c>
      <c r="E83" s="330" t="s">
        <v>2444</v>
      </c>
      <c r="F83" s="30" t="s">
        <v>119</v>
      </c>
      <c r="G83" s="30" t="s">
        <v>2419</v>
      </c>
      <c r="H83" s="30" t="s">
        <v>2417</v>
      </c>
    </row>
    <row r="84" spans="1:8" x14ac:dyDescent="0.2">
      <c r="B84" s="30" t="str">
        <f>EskomCoalPrice2019!K53</f>
        <v>MINCSMATLVRS</v>
      </c>
      <c r="C84" s="30" t="str">
        <f>"Coal Supply for "&amp;EskomCoalPrice2019!J53&amp;"-"&amp;EskomCoalPrice2019!I53</f>
        <v>Coal Supply for Matla-various</v>
      </c>
      <c r="D84" t="s">
        <v>114</v>
      </c>
      <c r="E84" s="330" t="s">
        <v>2444</v>
      </c>
      <c r="F84" s="30" t="s">
        <v>119</v>
      </c>
      <c r="G84" s="30" t="s">
        <v>2419</v>
      </c>
      <c r="H84" s="30" t="s">
        <v>2417</v>
      </c>
    </row>
    <row r="85" spans="1:8" x14ac:dyDescent="0.2">
      <c r="B85" s="30" t="str">
        <f>EskomCoalPrice2019!K54</f>
        <v>MINCSMEDUEXX</v>
      </c>
      <c r="C85" s="30" t="str">
        <f>"Coal Supply for "&amp;EskomCoalPrice2019!J54&amp;"-"&amp;EskomCoalPrice2019!I54</f>
        <v>Coal Supply for Medupi-Exxaro</v>
      </c>
      <c r="D85" t="s">
        <v>114</v>
      </c>
      <c r="E85" s="330" t="s">
        <v>2444</v>
      </c>
      <c r="F85" s="30" t="s">
        <v>119</v>
      </c>
      <c r="G85" s="30" t="s">
        <v>2419</v>
      </c>
      <c r="H85" s="30" t="s">
        <v>2417</v>
      </c>
    </row>
    <row r="86" spans="1:8" x14ac:dyDescent="0.2">
      <c r="B86" s="30" t="str">
        <f>EskomCoalPrice2019!K55</f>
        <v>MINCSTUTUSER</v>
      </c>
      <c r="C86" s="30" t="str">
        <f>"Coal Supply for "&amp;EskomCoalPrice2019!J55&amp;"-"&amp;EskomCoalPrice2019!I55</f>
        <v>Coal Supply for Tutuka-Seriti</v>
      </c>
      <c r="D86" t="s">
        <v>114</v>
      </c>
      <c r="E86" s="330" t="s">
        <v>2444</v>
      </c>
      <c r="F86" s="30" t="s">
        <v>119</v>
      </c>
      <c r="G86" s="30" t="s">
        <v>2419</v>
      </c>
      <c r="H86" s="30" t="s">
        <v>2417</v>
      </c>
    </row>
    <row r="87" spans="1:8" x14ac:dyDescent="0.2">
      <c r="B87" s="30" t="str">
        <f>EskomCoalPrice2019!K56</f>
        <v>MINCSTUTUVRS</v>
      </c>
      <c r="C87" s="30" t="str">
        <f>"Coal Supply for "&amp;EskomCoalPrice2019!J56&amp;"-"&amp;EskomCoalPrice2019!I56</f>
        <v>Coal Supply for Tutuka-various</v>
      </c>
      <c r="D87" t="s">
        <v>114</v>
      </c>
      <c r="E87" s="330" t="s">
        <v>2444</v>
      </c>
      <c r="F87" s="30" t="s">
        <v>119</v>
      </c>
      <c r="G87" s="30" t="s">
        <v>2419</v>
      </c>
      <c r="H87" s="30" t="s">
        <v>2417</v>
      </c>
    </row>
    <row r="88" spans="1:8" x14ac:dyDescent="0.2">
      <c r="B88" s="30" t="s">
        <v>208</v>
      </c>
      <c r="C88" s="30" t="s">
        <v>207</v>
      </c>
      <c r="D88" t="s">
        <v>114</v>
      </c>
      <c r="E88" s="330" t="s">
        <v>2444</v>
      </c>
      <c r="F88" s="30" t="s">
        <v>119</v>
      </c>
      <c r="G88" s="30" t="s">
        <v>2419</v>
      </c>
      <c r="H88" s="30" t="s">
        <v>2417</v>
      </c>
    </row>
    <row r="89" spans="1:8" x14ac:dyDescent="0.2">
      <c r="A89" s="33" t="s">
        <v>206</v>
      </c>
      <c r="D89" t="s">
        <v>2450</v>
      </c>
      <c r="E89" t="s">
        <v>2450</v>
      </c>
    </row>
    <row r="90" spans="1:8" x14ac:dyDescent="0.2">
      <c r="A90" s="45"/>
      <c r="B90" s="30" t="s">
        <v>125</v>
      </c>
      <c r="C90" s="30" t="s">
        <v>126</v>
      </c>
      <c r="D90" t="s">
        <v>114</v>
      </c>
      <c r="E90" t="s">
        <v>147</v>
      </c>
      <c r="F90" s="30" t="s">
        <v>336</v>
      </c>
      <c r="G90" s="30" t="s">
        <v>2420</v>
      </c>
      <c r="H90" s="30" t="s">
        <v>2417</v>
      </c>
    </row>
    <row r="91" spans="1:8" x14ac:dyDescent="0.2">
      <c r="A91" s="45"/>
      <c r="B91" s="30" t="s">
        <v>205</v>
      </c>
      <c r="C91" s="30" t="s">
        <v>204</v>
      </c>
      <c r="D91" t="s">
        <v>114</v>
      </c>
      <c r="E91" t="s">
        <v>147</v>
      </c>
      <c r="F91" s="30" t="s">
        <v>336</v>
      </c>
      <c r="G91" s="30" t="s">
        <v>2420</v>
      </c>
      <c r="H91" s="30" t="s">
        <v>2417</v>
      </c>
    </row>
    <row r="92" spans="1:8" x14ac:dyDescent="0.2">
      <c r="A92" s="45"/>
      <c r="B92" s="30" t="s">
        <v>2395</v>
      </c>
      <c r="C92" s="30" t="s">
        <v>2392</v>
      </c>
      <c r="D92" t="s">
        <v>114</v>
      </c>
      <c r="E92" t="s">
        <v>147</v>
      </c>
      <c r="F92" s="30" t="s">
        <v>336</v>
      </c>
      <c r="G92" s="30" t="s">
        <v>2420</v>
      </c>
      <c r="H92" s="30" t="s">
        <v>2417</v>
      </c>
    </row>
    <row r="93" spans="1:8" x14ac:dyDescent="0.2">
      <c r="A93" s="45"/>
      <c r="B93" s="30" t="s">
        <v>203</v>
      </c>
      <c r="C93" s="30" t="s">
        <v>202</v>
      </c>
      <c r="D93" t="s">
        <v>114</v>
      </c>
      <c r="E93" t="s">
        <v>147</v>
      </c>
      <c r="F93" s="30" t="s">
        <v>336</v>
      </c>
      <c r="G93" s="30" t="s">
        <v>2420</v>
      </c>
      <c r="H93" s="30" t="s">
        <v>2417</v>
      </c>
    </row>
    <row r="94" spans="1:8" x14ac:dyDescent="0.2">
      <c r="A94" s="45"/>
      <c r="B94" s="30" t="s">
        <v>201</v>
      </c>
      <c r="C94" s="30" t="s">
        <v>200</v>
      </c>
      <c r="D94" t="s">
        <v>114</v>
      </c>
      <c r="E94" t="s">
        <v>147</v>
      </c>
      <c r="F94" s="30" t="s">
        <v>336</v>
      </c>
      <c r="G94" s="30" t="s">
        <v>2420</v>
      </c>
      <c r="H94" s="30" t="s">
        <v>2417</v>
      </c>
    </row>
    <row r="95" spans="1:8" x14ac:dyDescent="0.2">
      <c r="A95" s="45"/>
      <c r="B95" s="30" t="s">
        <v>199</v>
      </c>
      <c r="C95" s="30" t="s">
        <v>198</v>
      </c>
      <c r="D95" t="s">
        <v>114</v>
      </c>
      <c r="E95" t="s">
        <v>147</v>
      </c>
      <c r="F95" s="30" t="s">
        <v>336</v>
      </c>
      <c r="G95" s="30" t="s">
        <v>2420</v>
      </c>
      <c r="H95" s="30" t="s">
        <v>2417</v>
      </c>
    </row>
    <row r="96" spans="1:8" x14ac:dyDescent="0.2">
      <c r="A96" s="45"/>
      <c r="B96" s="30" t="s">
        <v>197</v>
      </c>
      <c r="C96" s="30" t="s">
        <v>196</v>
      </c>
      <c r="D96" t="s">
        <v>114</v>
      </c>
      <c r="E96" t="s">
        <v>147</v>
      </c>
      <c r="F96" s="30" t="s">
        <v>336</v>
      </c>
      <c r="G96" s="30" t="s">
        <v>2420</v>
      </c>
      <c r="H96" s="30" t="s">
        <v>2417</v>
      </c>
    </row>
    <row r="97" spans="1:8" x14ac:dyDescent="0.2">
      <c r="A97" s="45"/>
      <c r="B97" s="30" t="s">
        <v>195</v>
      </c>
      <c r="C97" s="30" t="s">
        <v>194</v>
      </c>
      <c r="D97" t="s">
        <v>114</v>
      </c>
      <c r="E97" t="s">
        <v>147</v>
      </c>
      <c r="F97" s="30" t="s">
        <v>336</v>
      </c>
      <c r="G97" s="30" t="s">
        <v>2420</v>
      </c>
      <c r="H97" s="30" t="s">
        <v>2417</v>
      </c>
    </row>
    <row r="98" spans="1:8" x14ac:dyDescent="0.2">
      <c r="A98" s="45"/>
      <c r="B98" s="30" t="s">
        <v>193</v>
      </c>
      <c r="C98" s="30" t="s">
        <v>192</v>
      </c>
      <c r="D98" t="s">
        <v>114</v>
      </c>
      <c r="E98" t="s">
        <v>147</v>
      </c>
      <c r="F98" s="30" t="s">
        <v>336</v>
      </c>
      <c r="G98" s="30" t="s">
        <v>2420</v>
      </c>
      <c r="H98" s="30" t="s">
        <v>2417</v>
      </c>
    </row>
    <row r="99" spans="1:8" x14ac:dyDescent="0.2">
      <c r="A99" s="45"/>
      <c r="B99" s="30" t="s">
        <v>191</v>
      </c>
      <c r="C99" s="30" t="s">
        <v>190</v>
      </c>
      <c r="D99" t="s">
        <v>114</v>
      </c>
      <c r="E99" t="s">
        <v>147</v>
      </c>
      <c r="F99" s="30" t="s">
        <v>336</v>
      </c>
      <c r="G99" s="30" t="s">
        <v>2420</v>
      </c>
      <c r="H99" s="30" t="s">
        <v>2417</v>
      </c>
    </row>
    <row r="100" spans="1:8" x14ac:dyDescent="0.2">
      <c r="A100" s="45"/>
      <c r="B100" s="30" t="s">
        <v>189</v>
      </c>
      <c r="C100" s="30" t="s">
        <v>188</v>
      </c>
      <c r="D100" t="s">
        <v>114</v>
      </c>
      <c r="E100" t="s">
        <v>147</v>
      </c>
      <c r="F100" s="30" t="s">
        <v>336</v>
      </c>
      <c r="G100" s="30" t="s">
        <v>2420</v>
      </c>
      <c r="H100" s="30" t="s">
        <v>2417</v>
      </c>
    </row>
    <row r="101" spans="1:8" x14ac:dyDescent="0.2">
      <c r="A101" s="45"/>
      <c r="B101" s="30" t="s">
        <v>187</v>
      </c>
      <c r="C101" s="30" t="s">
        <v>186</v>
      </c>
      <c r="D101" t="s">
        <v>114</v>
      </c>
      <c r="E101" t="s">
        <v>147</v>
      </c>
      <c r="F101" s="30" t="s">
        <v>336</v>
      </c>
      <c r="G101" s="30" t="s">
        <v>2420</v>
      </c>
      <c r="H101" s="30" t="s">
        <v>2417</v>
      </c>
    </row>
    <row r="102" spans="1:8" x14ac:dyDescent="0.2">
      <c r="A102" s="45"/>
      <c r="B102" s="30" t="s">
        <v>185</v>
      </c>
      <c r="C102" s="30" t="s">
        <v>184</v>
      </c>
      <c r="D102" t="s">
        <v>114</v>
      </c>
      <c r="E102" t="s">
        <v>147</v>
      </c>
      <c r="F102" s="30" t="s">
        <v>336</v>
      </c>
      <c r="G102" s="30" t="s">
        <v>2420</v>
      </c>
      <c r="H102" s="30" t="s">
        <v>2417</v>
      </c>
    </row>
    <row r="103" spans="1:8" x14ac:dyDescent="0.2">
      <c r="A103" s="45"/>
      <c r="B103" s="30" t="s">
        <v>183</v>
      </c>
      <c r="C103" s="30" t="s">
        <v>182</v>
      </c>
      <c r="D103" t="s">
        <v>114</v>
      </c>
      <c r="E103" t="s">
        <v>147</v>
      </c>
      <c r="F103" s="30" t="s">
        <v>336</v>
      </c>
      <c r="G103" s="30" t="s">
        <v>2420</v>
      </c>
      <c r="H103" s="30" t="s">
        <v>2417</v>
      </c>
    </row>
    <row r="104" spans="1:8" x14ac:dyDescent="0.2">
      <c r="A104" s="45"/>
      <c r="B104" s="30" t="s">
        <v>181</v>
      </c>
      <c r="C104" s="30" t="s">
        <v>180</v>
      </c>
      <c r="D104" t="s">
        <v>114</v>
      </c>
      <c r="E104" t="s">
        <v>147</v>
      </c>
      <c r="F104" s="30" t="s">
        <v>336</v>
      </c>
      <c r="G104" s="30" t="s">
        <v>2420</v>
      </c>
      <c r="H104" s="30" t="s">
        <v>2417</v>
      </c>
    </row>
    <row r="105" spans="1:8" x14ac:dyDescent="0.2">
      <c r="A105" s="45"/>
      <c r="B105" s="30" t="s">
        <v>179</v>
      </c>
      <c r="C105" s="30" t="s">
        <v>178</v>
      </c>
      <c r="D105" t="s">
        <v>114</v>
      </c>
      <c r="E105" t="s">
        <v>147</v>
      </c>
      <c r="F105" s="30" t="s">
        <v>336</v>
      </c>
      <c r="G105" s="30" t="s">
        <v>2420</v>
      </c>
      <c r="H105" s="30" t="s">
        <v>2417</v>
      </c>
    </row>
    <row r="106" spans="1:8" x14ac:dyDescent="0.2">
      <c r="A106" s="45"/>
      <c r="B106" s="30" t="s">
        <v>177</v>
      </c>
      <c r="C106" s="30" t="s">
        <v>176</v>
      </c>
      <c r="D106" t="s">
        <v>114</v>
      </c>
      <c r="E106" t="s">
        <v>147</v>
      </c>
      <c r="F106" s="30" t="s">
        <v>336</v>
      </c>
      <c r="G106" s="30" t="s">
        <v>2420</v>
      </c>
      <c r="H106" s="30" t="s">
        <v>2417</v>
      </c>
    </row>
    <row r="107" spans="1:8" x14ac:dyDescent="0.2">
      <c r="A107" s="45"/>
      <c r="B107" s="30" t="s">
        <v>175</v>
      </c>
      <c r="C107" s="30" t="s">
        <v>174</v>
      </c>
      <c r="D107" t="s">
        <v>114</v>
      </c>
      <c r="E107" t="s">
        <v>147</v>
      </c>
      <c r="F107" s="30" t="s">
        <v>336</v>
      </c>
      <c r="G107" s="30" t="s">
        <v>2420</v>
      </c>
      <c r="H107" s="30" t="s">
        <v>2417</v>
      </c>
    </row>
    <row r="108" spans="1:8" x14ac:dyDescent="0.2">
      <c r="A108" s="33" t="s">
        <v>1860</v>
      </c>
      <c r="D108" t="s">
        <v>2450</v>
      </c>
      <c r="E108" t="s">
        <v>2450</v>
      </c>
    </row>
    <row r="109" spans="1:8" x14ac:dyDescent="0.2">
      <c r="A109" s="45"/>
      <c r="B109" s="30" t="s">
        <v>1859</v>
      </c>
      <c r="C109" s="30" t="s">
        <v>1858</v>
      </c>
      <c r="D109" t="s">
        <v>114</v>
      </c>
      <c r="E109" s="330" t="s">
        <v>2444</v>
      </c>
      <c r="F109" s="30" t="s">
        <v>119</v>
      </c>
      <c r="G109" s="30" t="s">
        <v>2443</v>
      </c>
      <c r="H109" s="30" t="s">
        <v>2417</v>
      </c>
    </row>
    <row r="110" spans="1:8" x14ac:dyDescent="0.2">
      <c r="A110" s="45"/>
      <c r="B110" s="30" t="s">
        <v>1868</v>
      </c>
      <c r="C110" s="30" t="s">
        <v>1867</v>
      </c>
      <c r="D110" t="s">
        <v>114</v>
      </c>
      <c r="E110" s="330" t="s">
        <v>2444</v>
      </c>
      <c r="F110" s="30" t="s">
        <v>119</v>
      </c>
      <c r="G110" s="30" t="s">
        <v>2443</v>
      </c>
      <c r="H110" s="30" t="s">
        <v>2417</v>
      </c>
    </row>
    <row r="111" spans="1:8" x14ac:dyDescent="0.2">
      <c r="A111" s="45"/>
      <c r="B111" s="30" t="s">
        <v>2396</v>
      </c>
      <c r="C111" s="30" t="s">
        <v>2397</v>
      </c>
      <c r="D111" t="s">
        <v>114</v>
      </c>
      <c r="E111" s="330" t="s">
        <v>2444</v>
      </c>
      <c r="F111" s="30" t="s">
        <v>119</v>
      </c>
      <c r="G111" s="30" t="s">
        <v>2443</v>
      </c>
      <c r="H111" s="30" t="s">
        <v>2417</v>
      </c>
    </row>
    <row r="112" spans="1:8" x14ac:dyDescent="0.2">
      <c r="A112" s="45"/>
      <c r="B112" s="30" t="s">
        <v>2398</v>
      </c>
      <c r="C112" s="30" t="s">
        <v>2399</v>
      </c>
      <c r="D112" t="s">
        <v>114</v>
      </c>
      <c r="E112" s="330" t="s">
        <v>2444</v>
      </c>
      <c r="F112" s="30" t="s">
        <v>119</v>
      </c>
      <c r="G112" s="30" t="s">
        <v>2443</v>
      </c>
      <c r="H112" s="30" t="s">
        <v>2417</v>
      </c>
    </row>
    <row r="113" spans="1:8" x14ac:dyDescent="0.2">
      <c r="A113" s="45"/>
      <c r="B113" s="30" t="s">
        <v>2400</v>
      </c>
      <c r="C113" s="30" t="s">
        <v>2401</v>
      </c>
      <c r="D113" t="s">
        <v>114</v>
      </c>
      <c r="E113" s="330" t="s">
        <v>2444</v>
      </c>
      <c r="F113" s="30" t="s">
        <v>119</v>
      </c>
      <c r="G113" s="30" t="s">
        <v>2443</v>
      </c>
      <c r="H113" s="30" t="s">
        <v>2417</v>
      </c>
    </row>
    <row r="114" spans="1:8" x14ac:dyDescent="0.2">
      <c r="A114" s="45"/>
      <c r="B114" s="30" t="s">
        <v>2403</v>
      </c>
      <c r="C114" s="30" t="s">
        <v>2402</v>
      </c>
      <c r="D114" t="s">
        <v>114</v>
      </c>
      <c r="E114" s="330" t="s">
        <v>2444</v>
      </c>
      <c r="F114" s="30" t="s">
        <v>119</v>
      </c>
      <c r="G114" s="30" t="s">
        <v>2443</v>
      </c>
      <c r="H114" s="30" t="s">
        <v>2417</v>
      </c>
    </row>
    <row r="115" spans="1:8" x14ac:dyDescent="0.2">
      <c r="A115" s="45"/>
      <c r="B115" s="30" t="s">
        <v>2404</v>
      </c>
      <c r="C115" s="30" t="s">
        <v>2407</v>
      </c>
      <c r="D115" t="s">
        <v>114</v>
      </c>
      <c r="E115" s="330" t="s">
        <v>2444</v>
      </c>
      <c r="F115" s="30" t="s">
        <v>119</v>
      </c>
      <c r="G115" s="30" t="s">
        <v>2443</v>
      </c>
      <c r="H115" s="30" t="s">
        <v>2417</v>
      </c>
    </row>
    <row r="116" spans="1:8" x14ac:dyDescent="0.2">
      <c r="A116" s="45"/>
      <c r="B116" s="30" t="s">
        <v>2405</v>
      </c>
      <c r="C116" s="30" t="s">
        <v>2408</v>
      </c>
      <c r="D116" t="s">
        <v>114</v>
      </c>
      <c r="E116" s="330" t="s">
        <v>2444</v>
      </c>
      <c r="F116" s="30" t="s">
        <v>119</v>
      </c>
      <c r="G116" s="30" t="s">
        <v>2443</v>
      </c>
      <c r="H116" s="30" t="s">
        <v>2417</v>
      </c>
    </row>
    <row r="117" spans="1:8" x14ac:dyDescent="0.2">
      <c r="A117" s="45"/>
      <c r="B117" s="30" t="s">
        <v>2406</v>
      </c>
      <c r="C117" s="30" t="s">
        <v>2409</v>
      </c>
      <c r="D117" t="s">
        <v>114</v>
      </c>
      <c r="E117" s="330" t="s">
        <v>2444</v>
      </c>
      <c r="F117" s="30" t="s">
        <v>119</v>
      </c>
      <c r="G117" s="30" t="s">
        <v>2443</v>
      </c>
      <c r="H117" s="30" t="s">
        <v>2417</v>
      </c>
    </row>
    <row r="118" spans="1:8" x14ac:dyDescent="0.2">
      <c r="A118" s="45"/>
      <c r="B118" s="30" t="s">
        <v>2029</v>
      </c>
      <c r="C118" s="30" t="s">
        <v>2030</v>
      </c>
      <c r="D118" t="s">
        <v>114</v>
      </c>
      <c r="E118" s="330" t="s">
        <v>2444</v>
      </c>
      <c r="F118" s="30" t="s">
        <v>119</v>
      </c>
      <c r="G118" s="30" t="s">
        <v>2443</v>
      </c>
      <c r="H118" s="30" t="s">
        <v>2417</v>
      </c>
    </row>
    <row r="119" spans="1:8" x14ac:dyDescent="0.2">
      <c r="A119" s="33" t="s">
        <v>1761</v>
      </c>
      <c r="D119" t="s">
        <v>2450</v>
      </c>
      <c r="E119" t="s">
        <v>2450</v>
      </c>
    </row>
    <row r="120" spans="1:8" x14ac:dyDescent="0.2">
      <c r="A120" s="45"/>
      <c r="B120" s="30" t="s">
        <v>1762</v>
      </c>
      <c r="C120" s="30" t="s">
        <v>1763</v>
      </c>
      <c r="D120" t="s">
        <v>114</v>
      </c>
      <c r="E120" s="330" t="s">
        <v>2444</v>
      </c>
      <c r="F120" s="30" t="s">
        <v>119</v>
      </c>
      <c r="G120" s="30" t="s">
        <v>2420</v>
      </c>
      <c r="H120" s="30" t="s">
        <v>2417</v>
      </c>
    </row>
    <row r="121" spans="1:8" x14ac:dyDescent="0.2">
      <c r="A121" s="33" t="s">
        <v>173</v>
      </c>
      <c r="D121" t="s">
        <v>2450</v>
      </c>
      <c r="E121" t="s">
        <v>2450</v>
      </c>
    </row>
    <row r="122" spans="1:8" x14ac:dyDescent="0.2">
      <c r="A122" s="45"/>
      <c r="B122" s="30" t="s">
        <v>172</v>
      </c>
      <c r="C122" s="30" t="s">
        <v>171</v>
      </c>
      <c r="D122" t="s">
        <v>114</v>
      </c>
      <c r="E122" s="330" t="s">
        <v>2444</v>
      </c>
      <c r="F122" s="30" t="s">
        <v>119</v>
      </c>
      <c r="G122" s="30" t="s">
        <v>2419</v>
      </c>
      <c r="H122" s="30" t="s">
        <v>2417</v>
      </c>
    </row>
    <row r="123" spans="1:8" x14ac:dyDescent="0.2">
      <c r="A123" s="45"/>
      <c r="B123" s="30" t="s">
        <v>170</v>
      </c>
      <c r="C123" s="30" t="s">
        <v>169</v>
      </c>
      <c r="D123" t="s">
        <v>114</v>
      </c>
      <c r="E123" s="330" t="s">
        <v>2444</v>
      </c>
      <c r="F123" s="30" t="s">
        <v>119</v>
      </c>
      <c r="G123" s="30" t="s">
        <v>2419</v>
      </c>
      <c r="H123" s="30" t="s">
        <v>2417</v>
      </c>
    </row>
    <row r="124" spans="1:8" x14ac:dyDescent="0.2">
      <c r="A124" s="45"/>
      <c r="B124" s="30" t="s">
        <v>168</v>
      </c>
      <c r="C124" s="30" t="s">
        <v>167</v>
      </c>
      <c r="D124" t="s">
        <v>114</v>
      </c>
      <c r="E124" s="330" t="s">
        <v>2444</v>
      </c>
      <c r="F124" s="30" t="s">
        <v>119</v>
      </c>
      <c r="G124" s="30" t="s">
        <v>2419</v>
      </c>
      <c r="H124" s="30" t="s">
        <v>2417</v>
      </c>
    </row>
    <row r="125" spans="1:8" x14ac:dyDescent="0.2">
      <c r="A125" s="45"/>
      <c r="B125" s="30" t="s">
        <v>166</v>
      </c>
      <c r="C125" s="30" t="s">
        <v>165</v>
      </c>
      <c r="D125" t="s">
        <v>114</v>
      </c>
      <c r="E125" s="330" t="s">
        <v>2444</v>
      </c>
      <c r="F125" s="30" t="s">
        <v>119</v>
      </c>
      <c r="G125" s="30" t="s">
        <v>2419</v>
      </c>
      <c r="H125" s="30" t="s">
        <v>2417</v>
      </c>
    </row>
    <row r="126" spans="1:8" x14ac:dyDescent="0.2">
      <c r="A126" s="45"/>
      <c r="B126" s="30" t="s">
        <v>164</v>
      </c>
      <c r="C126" s="30" t="s">
        <v>163</v>
      </c>
      <c r="D126" t="s">
        <v>114</v>
      </c>
      <c r="E126" s="330" t="s">
        <v>2444</v>
      </c>
      <c r="F126" s="30" t="s">
        <v>119</v>
      </c>
      <c r="G126" s="30" t="s">
        <v>2419</v>
      </c>
      <c r="H126" s="30" t="s">
        <v>2417</v>
      </c>
    </row>
    <row r="127" spans="1:8" x14ac:dyDescent="0.2">
      <c r="A127" s="45"/>
      <c r="B127" s="30" t="s">
        <v>162</v>
      </c>
      <c r="C127" s="30" t="s">
        <v>161</v>
      </c>
      <c r="D127" t="s">
        <v>114</v>
      </c>
      <c r="E127" s="330" t="s">
        <v>2444</v>
      </c>
      <c r="F127" s="30" t="s">
        <v>119</v>
      </c>
      <c r="G127" s="30" t="s">
        <v>2419</v>
      </c>
      <c r="H127" s="30" t="s">
        <v>2417</v>
      </c>
    </row>
    <row r="128" spans="1:8" x14ac:dyDescent="0.2">
      <c r="A128" s="45"/>
      <c r="B128" s="30" t="s">
        <v>160</v>
      </c>
      <c r="C128" s="30" t="s">
        <v>159</v>
      </c>
      <c r="D128" t="s">
        <v>114</v>
      </c>
      <c r="E128" s="330" t="s">
        <v>2444</v>
      </c>
      <c r="F128" s="30" t="s">
        <v>119</v>
      </c>
      <c r="G128" s="30" t="s">
        <v>2419</v>
      </c>
      <c r="H128" s="30" t="s">
        <v>2417</v>
      </c>
    </row>
    <row r="129" spans="1:8" x14ac:dyDescent="0.2">
      <c r="A129" s="45"/>
      <c r="B129" s="30" t="s">
        <v>158</v>
      </c>
      <c r="C129" s="30" t="s">
        <v>157</v>
      </c>
      <c r="D129" t="s">
        <v>114</v>
      </c>
      <c r="E129" s="330" t="s">
        <v>2444</v>
      </c>
      <c r="F129" s="30" t="s">
        <v>119</v>
      </c>
      <c r="G129" s="30" t="s">
        <v>2419</v>
      </c>
      <c r="H129" s="30" t="s">
        <v>2417</v>
      </c>
    </row>
    <row r="130" spans="1:8" x14ac:dyDescent="0.2">
      <c r="A130" s="45"/>
    </row>
    <row r="131" spans="1:8" x14ac:dyDescent="0.2">
      <c r="A131" s="45"/>
    </row>
    <row r="132" spans="1:8" x14ac:dyDescent="0.2">
      <c r="A132" s="45"/>
    </row>
    <row r="133" spans="1:8" x14ac:dyDescent="0.2">
      <c r="A133" s="45"/>
    </row>
    <row r="134" spans="1:8" x14ac:dyDescent="0.2">
      <c r="A134" s="45"/>
    </row>
    <row r="135" spans="1:8" x14ac:dyDescent="0.2">
      <c r="A135" s="45"/>
    </row>
    <row r="136" spans="1:8" x14ac:dyDescent="0.2">
      <c r="A136" s="45"/>
    </row>
  </sheetData>
  <pageMargins left="0.75" right="0.75" top="1" bottom="1" header="0.5" footer="0.5"/>
  <pageSetup paperSize="9" orientation="portrait" horizontalDpi="1200" verticalDpi="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CCC25-ED47-4939-8006-E714A9F0080F}">
  <sheetPr codeName="Sheet15">
    <tabColor theme="4"/>
  </sheetPr>
  <dimension ref="A1:K90"/>
  <sheetViews>
    <sheetView topLeftCell="A48" workbookViewId="0">
      <selection activeCell="B10" sqref="B10"/>
    </sheetView>
  </sheetViews>
  <sheetFormatPr defaultColWidth="9.140625" defaultRowHeight="11.25" x14ac:dyDescent="0.2"/>
  <cols>
    <col min="1" max="1" width="12.85546875" style="9" customWidth="1"/>
    <col min="2" max="2" width="12.28515625" style="9" customWidth="1"/>
    <col min="3" max="3" width="28.140625" style="9" customWidth="1"/>
    <col min="4" max="4" width="10.28515625" style="9" customWidth="1"/>
    <col min="5" max="5" width="29.7109375" style="9" customWidth="1"/>
    <col min="6" max="6" width="10.28515625" style="9" customWidth="1"/>
    <col min="7" max="16384" width="9.140625" style="9"/>
  </cols>
  <sheetData>
    <row r="1" spans="1:8" x14ac:dyDescent="0.2">
      <c r="A1" s="47"/>
    </row>
    <row r="2" spans="1:8" ht="12.75" x14ac:dyDescent="0.2">
      <c r="A2" s="45"/>
    </row>
    <row r="4" spans="1:8" ht="17.25" customHeight="1" x14ac:dyDescent="0.2"/>
    <row r="5" spans="1:8" ht="17.25" customHeight="1" x14ac:dyDescent="0.2">
      <c r="C5" s="10"/>
    </row>
    <row r="6" spans="1:8" ht="15.75" customHeight="1" x14ac:dyDescent="0.25">
      <c r="B6" s="495" t="s">
        <v>2425</v>
      </c>
      <c r="C6" s="495"/>
      <c r="D6" s="495"/>
      <c r="E6" s="495"/>
      <c r="F6" s="495"/>
      <c r="G6" s="495"/>
      <c r="H6" s="495"/>
    </row>
    <row r="7" spans="1:8" ht="15" x14ac:dyDescent="0.25">
      <c r="B7" s="495" t="s">
        <v>40</v>
      </c>
      <c r="C7" s="495" t="s">
        <v>41</v>
      </c>
      <c r="D7" s="495" t="s">
        <v>42</v>
      </c>
      <c r="E7" s="495" t="s">
        <v>2426</v>
      </c>
      <c r="F7" s="495" t="s">
        <v>2433</v>
      </c>
      <c r="G7" s="495" t="s">
        <v>2434</v>
      </c>
      <c r="H7" s="495" t="s">
        <v>2435</v>
      </c>
    </row>
    <row r="8" spans="1:8" x14ac:dyDescent="0.2">
      <c r="B8" s="10" t="s">
        <v>386</v>
      </c>
      <c r="C8" s="9" t="s">
        <v>1757</v>
      </c>
      <c r="D8" s="9" t="s">
        <v>114</v>
      </c>
      <c r="E8" s="17" t="s">
        <v>38</v>
      </c>
      <c r="F8" s="9" t="s">
        <v>119</v>
      </c>
    </row>
    <row r="9" spans="1:8" s="8" customFormat="1" ht="12.75" x14ac:dyDescent="0.2">
      <c r="A9" s="28" t="s">
        <v>317</v>
      </c>
      <c r="B9" s="30"/>
      <c r="C9" s="30"/>
      <c r="D9" s="30"/>
    </row>
    <row r="10" spans="1:8" s="8" customFormat="1" ht="12.75" x14ac:dyDescent="0.2">
      <c r="A10" s="32"/>
      <c r="B10" s="32" t="s">
        <v>330</v>
      </c>
      <c r="C10" s="32" t="str">
        <f>"Coal for "&amp;INDEX(ProcDataGenPre2012!$C$9:$C$29,MATCH(B10,ProcDataGenPre2012!$D$9:$D$29,0))&amp;" Power Plant"</f>
        <v>Coal for ARNOT Power Plant</v>
      </c>
      <c r="D10" s="48" t="s">
        <v>114</v>
      </c>
      <c r="E10" s="17" t="s">
        <v>38</v>
      </c>
      <c r="F10" s="9" t="s">
        <v>119</v>
      </c>
    </row>
    <row r="11" spans="1:8" s="8" customFormat="1" ht="12.75" x14ac:dyDescent="0.2">
      <c r="A11" s="32"/>
      <c r="B11" s="32" t="s">
        <v>329</v>
      </c>
      <c r="C11" s="32" t="str">
        <f>"Coal for "&amp;INDEX(ProcDataGenPre2012!$C$9:$C$29,MATCH(B11,ProcDataGenPre2012!$D$9:$D$29,0))&amp;" Power Plant"</f>
        <v>Coal for CAMDEN Power Plant</v>
      </c>
      <c r="D11" s="48" t="s">
        <v>114</v>
      </c>
      <c r="E11" s="17" t="s">
        <v>38</v>
      </c>
      <c r="F11" s="9" t="s">
        <v>119</v>
      </c>
    </row>
    <row r="12" spans="1:8" s="8" customFormat="1" ht="12.75" x14ac:dyDescent="0.2">
      <c r="A12" s="32"/>
      <c r="B12" s="32" t="s">
        <v>328</v>
      </c>
      <c r="C12" s="32" t="str">
        <f>"Coal for "&amp;INDEX(ProcDataGenPre2012!$C$9:$C$29,MATCH(B12,ProcDataGenPre2012!$D$9:$D$29,0))&amp;" Power Plant"</f>
        <v>Coal for DUVHA Power Plant</v>
      </c>
      <c r="D12" s="48" t="s">
        <v>114</v>
      </c>
      <c r="E12" s="17" t="s">
        <v>38</v>
      </c>
      <c r="F12" s="9" t="s">
        <v>119</v>
      </c>
    </row>
    <row r="13" spans="1:8" s="8" customFormat="1" ht="12.75" x14ac:dyDescent="0.2">
      <c r="A13" s="32"/>
      <c r="B13" s="32" t="s">
        <v>327</v>
      </c>
      <c r="C13" s="32" t="str">
        <f>"Coal for "&amp;INDEX(ProcDataGenPre2012!$C$9:$C$29,MATCH(B13,ProcDataGenPre2012!$D$9:$D$29,0))&amp;" Power Plant"</f>
        <v>Coal for GROOTVLEI Power Plant</v>
      </c>
      <c r="D13" s="48" t="s">
        <v>114</v>
      </c>
      <c r="E13" s="17" t="s">
        <v>38</v>
      </c>
      <c r="F13" s="9" t="s">
        <v>119</v>
      </c>
    </row>
    <row r="14" spans="1:8" s="8" customFormat="1" ht="12.75" x14ac:dyDescent="0.2">
      <c r="A14" s="32"/>
      <c r="B14" s="32" t="s">
        <v>326</v>
      </c>
      <c r="C14" s="32" t="str">
        <f>"Coal for "&amp;INDEX(ProcDataGenPre2012!$C$9:$C$29,MATCH(B14,ProcDataGenPre2012!$D$9:$D$29,0))&amp;" Power Plant"</f>
        <v>Coal for HENDRINA Power Plant</v>
      </c>
      <c r="D14" s="48" t="s">
        <v>114</v>
      </c>
      <c r="E14" s="17" t="s">
        <v>38</v>
      </c>
      <c r="F14" s="9" t="s">
        <v>119</v>
      </c>
    </row>
    <row r="15" spans="1:8" s="8" customFormat="1" ht="12.75" x14ac:dyDescent="0.2">
      <c r="A15" s="32"/>
      <c r="B15" s="32" t="s">
        <v>325</v>
      </c>
      <c r="C15" s="32" t="str">
        <f>"Coal for "&amp;INDEX(ProcDataGenPre2012!$C$9:$C$29,MATCH(B15,ProcDataGenPre2012!$D$9:$D$29,0))&amp;" Power Plant"</f>
        <v>Coal for KENDAL Power Plant</v>
      </c>
      <c r="D15" s="48" t="s">
        <v>114</v>
      </c>
      <c r="E15" s="17" t="s">
        <v>38</v>
      </c>
      <c r="F15" s="9" t="s">
        <v>119</v>
      </c>
    </row>
    <row r="16" spans="1:8" s="8" customFormat="1" ht="12.75" x14ac:dyDescent="0.2">
      <c r="A16" s="32"/>
      <c r="B16" s="32" t="s">
        <v>324</v>
      </c>
      <c r="C16" s="32" t="str">
        <f>"Coal for "&amp;INDEX(ProcDataGenPre2012!$C$9:$C$29,MATCH(B16,ProcDataGenPre2012!$D$9:$D$29,0))&amp;" Power Plant"</f>
        <v>Coal for KOMATI Power Plant</v>
      </c>
      <c r="D16" s="48" t="s">
        <v>114</v>
      </c>
      <c r="E16" s="17" t="s">
        <v>38</v>
      </c>
      <c r="F16" s="9" t="s">
        <v>119</v>
      </c>
    </row>
    <row r="17" spans="1:11" s="8" customFormat="1" ht="12.75" x14ac:dyDescent="0.2">
      <c r="A17" s="32"/>
      <c r="B17" s="32" t="s">
        <v>323</v>
      </c>
      <c r="C17" s="32" t="str">
        <f>"Coal for "&amp;INDEX(ProcDataGenPre2012!$C$9:$C$29,MATCH(B17,ProcDataGenPre2012!$D$9:$D$29,0))&amp;" Power Plant"</f>
        <v>Coal for KRIEL Power Plant</v>
      </c>
      <c r="D17" s="48" t="s">
        <v>114</v>
      </c>
      <c r="E17" s="17" t="s">
        <v>38</v>
      </c>
      <c r="F17" s="9" t="s">
        <v>119</v>
      </c>
    </row>
    <row r="18" spans="1:11" s="8" customFormat="1" ht="12.75" x14ac:dyDescent="0.2">
      <c r="A18" s="32"/>
      <c r="B18" s="32" t="s">
        <v>322</v>
      </c>
      <c r="C18" s="32" t="str">
        <f>"Coal for "&amp;INDEX(ProcDataGenPre2012!$C$9:$C$29,MATCH(B18,ProcDataGenPre2012!$D$9:$D$29,0))&amp;" Power Plant"</f>
        <v>Coal for LETHABO Power Plant</v>
      </c>
      <c r="D18" s="48" t="s">
        <v>114</v>
      </c>
      <c r="E18" s="17" t="s">
        <v>38</v>
      </c>
      <c r="F18" s="9" t="s">
        <v>119</v>
      </c>
    </row>
    <row r="19" spans="1:11" s="8" customFormat="1" ht="12.75" x14ac:dyDescent="0.2">
      <c r="A19" s="32"/>
      <c r="B19" s="32" t="s">
        <v>321</v>
      </c>
      <c r="C19" s="32" t="str">
        <f>"Coal for "&amp;INDEX(ProcDataGenPre2012!$C$9:$C$29,MATCH(B19,ProcDataGenPre2012!$D$9:$D$29,0))&amp;" Power Plant"</f>
        <v>Coal for MAJUBA DRY Power Plant</v>
      </c>
      <c r="D19" s="48" t="s">
        <v>114</v>
      </c>
      <c r="E19" s="17" t="s">
        <v>38</v>
      </c>
      <c r="F19" s="9" t="s">
        <v>119</v>
      </c>
    </row>
    <row r="20" spans="1:11" s="8" customFormat="1" ht="12.75" x14ac:dyDescent="0.2">
      <c r="A20" s="32"/>
      <c r="B20" s="32" t="s">
        <v>320</v>
      </c>
      <c r="C20" s="32" t="str">
        <f>"Coal for "&amp;INDEX(ProcDataGenPre2012!$C$9:$C$29,MATCH(B20,ProcDataGenPre2012!$D$9:$D$29,0))&amp;" Power Plant"</f>
        <v>Coal for MATIMBA Power Plant</v>
      </c>
      <c r="D20" s="48" t="s">
        <v>114</v>
      </c>
      <c r="E20" s="17" t="s">
        <v>38</v>
      </c>
      <c r="F20" s="9" t="s">
        <v>119</v>
      </c>
    </row>
    <row r="21" spans="1:11" s="8" customFormat="1" ht="12.75" x14ac:dyDescent="0.2">
      <c r="A21" s="32"/>
      <c r="B21" s="32" t="s">
        <v>319</v>
      </c>
      <c r="C21" s="32" t="str">
        <f>"Coal for "&amp;INDEX(ProcDataGenPre2012!$C$9:$C$29,MATCH(B21,ProcDataGenPre2012!$D$9:$D$29,0))&amp;" Power Plant"</f>
        <v>Coal for MATLA Power Plant</v>
      </c>
      <c r="D21" s="48" t="s">
        <v>114</v>
      </c>
      <c r="E21" s="17" t="s">
        <v>38</v>
      </c>
      <c r="F21" s="9" t="s">
        <v>119</v>
      </c>
    </row>
    <row r="22" spans="1:11" s="8" customFormat="1" ht="12.75" x14ac:dyDescent="0.2">
      <c r="A22" s="32"/>
      <c r="B22" s="32" t="s">
        <v>318</v>
      </c>
      <c r="C22" s="32" t="str">
        <f>"Coal for "&amp;INDEX(ProcDataGenPre2012!$C$9:$C$29,MATCH(B22,ProcDataGenPre2012!$D$9:$D$29,0))&amp;" Power Plant"</f>
        <v>Coal for TUTUKA Power Plant</v>
      </c>
      <c r="D22" s="48" t="s">
        <v>114</v>
      </c>
      <c r="E22" s="17" t="s">
        <v>38</v>
      </c>
      <c r="F22" s="9" t="s">
        <v>119</v>
      </c>
    </row>
    <row r="23" spans="1:11" s="8" customFormat="1" ht="12.75" x14ac:dyDescent="0.2">
      <c r="A23" s="28" t="s">
        <v>316</v>
      </c>
      <c r="B23" s="32"/>
      <c r="C23" s="32"/>
      <c r="D23" s="48"/>
      <c r="E23" s="17"/>
    </row>
    <row r="24" spans="1:11" s="8" customFormat="1" ht="12.75" x14ac:dyDescent="0.2">
      <c r="A24" s="32"/>
      <c r="B24" s="32" t="s">
        <v>315</v>
      </c>
      <c r="C24" s="32" t="str">
        <f>"Coal for "&amp;INDEX(ProcDataGen2012On!$C$9:$C$21,MATCH(B24,ProcDataGen2012On!$D$9:$D$21,0))&amp;" Power Plant"</f>
        <v>Coal for KUSILE Power Plant</v>
      </c>
      <c r="D24" s="48" t="s">
        <v>114</v>
      </c>
      <c r="E24" s="17" t="s">
        <v>38</v>
      </c>
      <c r="F24" s="9" t="s">
        <v>119</v>
      </c>
    </row>
    <row r="25" spans="1:11" s="8" customFormat="1" ht="12.75" x14ac:dyDescent="0.2">
      <c r="A25" s="32"/>
      <c r="B25" s="32" t="s">
        <v>314</v>
      </c>
      <c r="C25" s="32" t="str">
        <f>"Coal for "&amp;INDEX(ProcDataGen2012On!$C$9:$C$21,MATCH(B25,ProcDataGen2012On!$D$9:$D$21,0))&amp;" Power Plant"</f>
        <v>Coal for MEDUPI Power Plant</v>
      </c>
      <c r="D25" s="48" t="s">
        <v>114</v>
      </c>
      <c r="E25" s="17" t="s">
        <v>38</v>
      </c>
      <c r="F25" s="9" t="s">
        <v>119</v>
      </c>
      <c r="K25" s="45"/>
    </row>
    <row r="26" spans="1:11" ht="12" x14ac:dyDescent="0.2">
      <c r="A26" s="31" t="s">
        <v>1856</v>
      </c>
    </row>
    <row r="27" spans="1:11" x14ac:dyDescent="0.2">
      <c r="B27" s="9" t="s">
        <v>1871</v>
      </c>
      <c r="C27" s="9" t="s">
        <v>1873</v>
      </c>
      <c r="D27" s="9" t="s">
        <v>114</v>
      </c>
      <c r="E27" s="17" t="s">
        <v>38</v>
      </c>
      <c r="F27" s="9" t="s">
        <v>119</v>
      </c>
    </row>
    <row r="28" spans="1:11" x14ac:dyDescent="0.2">
      <c r="B28" s="9" t="s">
        <v>1872</v>
      </c>
      <c r="C28" s="9" t="s">
        <v>1874</v>
      </c>
      <c r="D28" s="9" t="s">
        <v>114</v>
      </c>
      <c r="E28" s="17" t="s">
        <v>38</v>
      </c>
      <c r="F28" s="9" t="s">
        <v>119</v>
      </c>
    </row>
    <row r="29" spans="1:11" x14ac:dyDescent="0.2">
      <c r="B29" s="9" t="s">
        <v>129</v>
      </c>
      <c r="C29" s="9" t="s">
        <v>2367</v>
      </c>
      <c r="D29" s="9" t="s">
        <v>114</v>
      </c>
      <c r="E29" s="17" t="s">
        <v>38</v>
      </c>
      <c r="F29" s="9" t="s">
        <v>336</v>
      </c>
      <c r="G29" s="9" t="s">
        <v>119</v>
      </c>
      <c r="H29" s="9" t="s">
        <v>120</v>
      </c>
    </row>
    <row r="30" spans="1:11" x14ac:dyDescent="0.2">
      <c r="B30" s="9" t="s">
        <v>120</v>
      </c>
      <c r="C30" s="9" t="s">
        <v>2394</v>
      </c>
      <c r="D30" s="9" t="s">
        <v>114</v>
      </c>
      <c r="E30" s="17" t="s">
        <v>38</v>
      </c>
      <c r="F30" s="9" t="s">
        <v>336</v>
      </c>
      <c r="H30" s="9" t="s">
        <v>120</v>
      </c>
    </row>
    <row r="31" spans="1:11" x14ac:dyDescent="0.2">
      <c r="B31" s="9" t="s">
        <v>2393</v>
      </c>
      <c r="C31" s="9" t="s">
        <v>2392</v>
      </c>
      <c r="D31" s="9" t="s">
        <v>114</v>
      </c>
      <c r="E31" s="17" t="s">
        <v>38</v>
      </c>
      <c r="F31" s="9" t="s">
        <v>336</v>
      </c>
      <c r="H31" s="9" t="s">
        <v>120</v>
      </c>
    </row>
    <row r="32" spans="1:11" x14ac:dyDescent="0.2">
      <c r="B32" s="9" t="s">
        <v>2452</v>
      </c>
      <c r="C32" s="9" t="s">
        <v>2463</v>
      </c>
      <c r="D32" s="9" t="s">
        <v>114</v>
      </c>
      <c r="E32" s="17" t="s">
        <v>38</v>
      </c>
      <c r="F32" s="9" t="s">
        <v>336</v>
      </c>
      <c r="H32" s="9" t="s">
        <v>120</v>
      </c>
    </row>
    <row r="33" spans="2:8" x14ac:dyDescent="0.2">
      <c r="B33" s="9" t="s">
        <v>2453</v>
      </c>
      <c r="C33" s="9" t="s">
        <v>2464</v>
      </c>
      <c r="D33" s="9" t="s">
        <v>114</v>
      </c>
      <c r="E33" s="17" t="s">
        <v>38</v>
      </c>
      <c r="F33" s="9" t="s">
        <v>336</v>
      </c>
      <c r="H33" s="9" t="s">
        <v>120</v>
      </c>
    </row>
    <row r="34" spans="2:8" x14ac:dyDescent="0.2">
      <c r="B34" s="9" t="s">
        <v>2454</v>
      </c>
      <c r="C34" s="9" t="s">
        <v>2465</v>
      </c>
      <c r="D34" s="9" t="s">
        <v>114</v>
      </c>
      <c r="E34" s="17" t="s">
        <v>38</v>
      </c>
      <c r="F34" s="9" t="s">
        <v>336</v>
      </c>
      <c r="H34" s="9" t="s">
        <v>120</v>
      </c>
    </row>
    <row r="35" spans="2:8" x14ac:dyDescent="0.2">
      <c r="B35" s="9" t="s">
        <v>2455</v>
      </c>
      <c r="C35" s="9" t="s">
        <v>2466</v>
      </c>
      <c r="D35" s="9" t="s">
        <v>114</v>
      </c>
      <c r="E35" s="17" t="s">
        <v>38</v>
      </c>
      <c r="F35" s="9" t="s">
        <v>336</v>
      </c>
      <c r="H35" s="9" t="s">
        <v>120</v>
      </c>
    </row>
    <row r="36" spans="2:8" x14ac:dyDescent="0.2">
      <c r="B36" s="9" t="s">
        <v>2456</v>
      </c>
      <c r="C36" s="9" t="s">
        <v>2467</v>
      </c>
      <c r="D36" s="9" t="s">
        <v>114</v>
      </c>
      <c r="E36" s="17" t="s">
        <v>38</v>
      </c>
      <c r="F36" s="9" t="s">
        <v>336</v>
      </c>
      <c r="H36" s="9" t="s">
        <v>120</v>
      </c>
    </row>
    <row r="37" spans="2:8" x14ac:dyDescent="0.2">
      <c r="B37" s="9" t="s">
        <v>2457</v>
      </c>
      <c r="C37" s="9" t="s">
        <v>2468</v>
      </c>
      <c r="D37" s="9" t="s">
        <v>114</v>
      </c>
      <c r="E37" s="17" t="s">
        <v>38</v>
      </c>
      <c r="F37" s="9" t="s">
        <v>336</v>
      </c>
      <c r="H37" s="9" t="s">
        <v>120</v>
      </c>
    </row>
    <row r="38" spans="2:8" x14ac:dyDescent="0.2">
      <c r="B38" s="9" t="s">
        <v>2458</v>
      </c>
      <c r="C38" s="9" t="s">
        <v>2469</v>
      </c>
      <c r="D38" s="9" t="s">
        <v>114</v>
      </c>
      <c r="E38" s="17" t="s">
        <v>38</v>
      </c>
      <c r="F38" s="9" t="s">
        <v>336</v>
      </c>
      <c r="H38" s="9" t="s">
        <v>120</v>
      </c>
    </row>
    <row r="39" spans="2:8" x14ac:dyDescent="0.2">
      <c r="B39" s="9" t="s">
        <v>2459</v>
      </c>
      <c r="C39" s="9" t="s">
        <v>2470</v>
      </c>
      <c r="D39" s="9" t="s">
        <v>114</v>
      </c>
      <c r="E39" s="17" t="s">
        <v>38</v>
      </c>
      <c r="F39" s="9" t="s">
        <v>336</v>
      </c>
      <c r="H39" s="9" t="s">
        <v>120</v>
      </c>
    </row>
    <row r="40" spans="2:8" x14ac:dyDescent="0.2">
      <c r="B40" s="9" t="s">
        <v>2460</v>
      </c>
      <c r="C40" s="9" t="s">
        <v>2471</v>
      </c>
      <c r="D40" s="9" t="s">
        <v>114</v>
      </c>
      <c r="E40" s="17" t="s">
        <v>38</v>
      </c>
      <c r="F40" s="9" t="s">
        <v>336</v>
      </c>
      <c r="H40" s="9" t="s">
        <v>120</v>
      </c>
    </row>
    <row r="41" spans="2:8" x14ac:dyDescent="0.2">
      <c r="B41" s="9" t="s">
        <v>2461</v>
      </c>
      <c r="C41" s="9" t="s">
        <v>2472</v>
      </c>
      <c r="D41" s="9" t="s">
        <v>114</v>
      </c>
      <c r="E41" s="17" t="s">
        <v>38</v>
      </c>
      <c r="F41" s="9" t="s">
        <v>336</v>
      </c>
      <c r="H41" s="9" t="s">
        <v>120</v>
      </c>
    </row>
    <row r="42" spans="2:8" x14ac:dyDescent="0.2">
      <c r="B42" s="9" t="s">
        <v>2462</v>
      </c>
      <c r="C42" s="9" t="s">
        <v>2473</v>
      </c>
      <c r="D42" s="9" t="s">
        <v>114</v>
      </c>
      <c r="E42" s="17" t="s">
        <v>38</v>
      </c>
      <c r="F42" s="9" t="s">
        <v>336</v>
      </c>
      <c r="H42" s="9" t="s">
        <v>120</v>
      </c>
    </row>
    <row r="43" spans="2:8" x14ac:dyDescent="0.2">
      <c r="B43" s="9" t="s">
        <v>2370</v>
      </c>
      <c r="C43" s="9" t="s">
        <v>2371</v>
      </c>
      <c r="D43" s="9" t="s">
        <v>114</v>
      </c>
      <c r="E43" s="17" t="s">
        <v>38</v>
      </c>
      <c r="F43" s="9" t="s">
        <v>336</v>
      </c>
      <c r="H43" s="9" t="s">
        <v>120</v>
      </c>
    </row>
    <row r="44" spans="2:8" x14ac:dyDescent="0.2">
      <c r="B44" s="9" t="s">
        <v>367</v>
      </c>
      <c r="C44" s="9" t="s">
        <v>2387</v>
      </c>
      <c r="D44" s="9" t="s">
        <v>114</v>
      </c>
      <c r="E44" s="17" t="s">
        <v>38</v>
      </c>
      <c r="F44" s="9" t="s">
        <v>336</v>
      </c>
      <c r="H44" s="9" t="s">
        <v>120</v>
      </c>
    </row>
    <row r="45" spans="2:8" x14ac:dyDescent="0.2">
      <c r="B45" s="9" t="s">
        <v>365</v>
      </c>
      <c r="C45" s="9" t="s">
        <v>174</v>
      </c>
      <c r="D45" s="9" t="s">
        <v>114</v>
      </c>
      <c r="E45" s="17" t="s">
        <v>38</v>
      </c>
      <c r="F45" s="9" t="s">
        <v>336</v>
      </c>
      <c r="H45" s="9" t="s">
        <v>120</v>
      </c>
    </row>
    <row r="46" spans="2:8" x14ac:dyDescent="0.2">
      <c r="B46" s="9" t="s">
        <v>368</v>
      </c>
      <c r="C46" s="9" t="s">
        <v>2388</v>
      </c>
      <c r="D46" s="9" t="s">
        <v>114</v>
      </c>
      <c r="E46" s="17" t="s">
        <v>38</v>
      </c>
      <c r="F46" s="9" t="s">
        <v>336</v>
      </c>
      <c r="H46" s="9" t="s">
        <v>120</v>
      </c>
    </row>
    <row r="47" spans="2:8" x14ac:dyDescent="0.2">
      <c r="B47" s="9" t="s">
        <v>2372</v>
      </c>
      <c r="C47" s="9" t="s">
        <v>2373</v>
      </c>
      <c r="D47" s="9" t="s">
        <v>114</v>
      </c>
      <c r="E47" s="17" t="s">
        <v>38</v>
      </c>
      <c r="F47" s="9" t="s">
        <v>336</v>
      </c>
      <c r="H47" s="9" t="s">
        <v>120</v>
      </c>
    </row>
    <row r="48" spans="2:8" x14ac:dyDescent="0.2">
      <c r="B48" s="9" t="s">
        <v>1857</v>
      </c>
      <c r="C48" s="9" t="s">
        <v>1858</v>
      </c>
      <c r="D48" s="9" t="s">
        <v>114</v>
      </c>
      <c r="E48" s="17" t="s">
        <v>38</v>
      </c>
      <c r="F48" s="9" t="s">
        <v>119</v>
      </c>
    </row>
    <row r="49" spans="2:6" x14ac:dyDescent="0.2">
      <c r="B49" s="9" t="s">
        <v>1866</v>
      </c>
      <c r="C49" s="9" t="s">
        <v>1867</v>
      </c>
      <c r="D49" s="9" t="s">
        <v>114</v>
      </c>
      <c r="E49" s="17" t="s">
        <v>38</v>
      </c>
      <c r="F49" s="9" t="s">
        <v>119</v>
      </c>
    </row>
    <row r="50" spans="2:6" x14ac:dyDescent="0.2">
      <c r="B50" s="9" t="s">
        <v>333</v>
      </c>
      <c r="C50" s="9" t="s">
        <v>2374</v>
      </c>
      <c r="D50" s="9" t="s">
        <v>114</v>
      </c>
      <c r="E50" s="17" t="s">
        <v>38</v>
      </c>
      <c r="F50" s="9" t="s">
        <v>119</v>
      </c>
    </row>
    <row r="51" spans="2:6" x14ac:dyDescent="0.2">
      <c r="B51" s="9" t="s">
        <v>371</v>
      </c>
      <c r="C51" s="9" t="s">
        <v>2383</v>
      </c>
      <c r="D51" s="9" t="s">
        <v>114</v>
      </c>
      <c r="E51" s="17" t="s">
        <v>38</v>
      </c>
      <c r="F51" s="9" t="s">
        <v>119</v>
      </c>
    </row>
    <row r="52" spans="2:6" x14ac:dyDescent="0.2">
      <c r="B52" s="9" t="s">
        <v>131</v>
      </c>
      <c r="C52" s="9" t="s">
        <v>2389</v>
      </c>
      <c r="D52" s="9" t="s">
        <v>114</v>
      </c>
      <c r="E52" s="17" t="s">
        <v>38</v>
      </c>
      <c r="F52" s="9" t="s">
        <v>119</v>
      </c>
    </row>
    <row r="53" spans="2:6" x14ac:dyDescent="0.2">
      <c r="B53" s="9" t="s">
        <v>1880</v>
      </c>
      <c r="C53" s="9" t="s">
        <v>2384</v>
      </c>
      <c r="D53" s="9" t="s">
        <v>114</v>
      </c>
      <c r="E53" s="17" t="s">
        <v>38</v>
      </c>
      <c r="F53" s="9" t="s">
        <v>119</v>
      </c>
    </row>
    <row r="54" spans="2:6" x14ac:dyDescent="0.2">
      <c r="B54" s="9" t="s">
        <v>332</v>
      </c>
      <c r="C54" s="9" t="s">
        <v>2375</v>
      </c>
      <c r="D54" s="9" t="s">
        <v>114</v>
      </c>
      <c r="E54" s="17" t="s">
        <v>38</v>
      </c>
      <c r="F54" s="9" t="s">
        <v>119</v>
      </c>
    </row>
    <row r="55" spans="2:6" x14ac:dyDescent="0.2">
      <c r="B55" s="9" t="s">
        <v>366</v>
      </c>
      <c r="C55" s="9" t="s">
        <v>2379</v>
      </c>
      <c r="D55" s="9" t="s">
        <v>114</v>
      </c>
      <c r="E55" s="17" t="s">
        <v>38</v>
      </c>
      <c r="F55" s="9" t="s">
        <v>119</v>
      </c>
    </row>
    <row r="56" spans="2:6" x14ac:dyDescent="0.2">
      <c r="B56" s="9" t="s">
        <v>372</v>
      </c>
      <c r="C56" s="9" t="s">
        <v>2380</v>
      </c>
      <c r="D56" s="9" t="s">
        <v>114</v>
      </c>
      <c r="E56" s="17" t="s">
        <v>38</v>
      </c>
      <c r="F56" s="9" t="s">
        <v>119</v>
      </c>
    </row>
    <row r="57" spans="2:6" x14ac:dyDescent="0.2">
      <c r="B57" s="9" t="s">
        <v>331</v>
      </c>
      <c r="C57" s="9" t="s">
        <v>2376</v>
      </c>
      <c r="D57" s="9" t="s">
        <v>114</v>
      </c>
      <c r="E57" s="17" t="s">
        <v>38</v>
      </c>
      <c r="F57" s="9" t="s">
        <v>119</v>
      </c>
    </row>
    <row r="58" spans="2:6" x14ac:dyDescent="0.2">
      <c r="B58" s="9" t="s">
        <v>370</v>
      </c>
      <c r="C58" s="9" t="s">
        <v>2385</v>
      </c>
      <c r="D58" s="9" t="s">
        <v>114</v>
      </c>
      <c r="E58" s="17" t="s">
        <v>38</v>
      </c>
      <c r="F58" s="9" t="s">
        <v>119</v>
      </c>
    </row>
    <row r="59" spans="2:6" x14ac:dyDescent="0.2">
      <c r="B59" s="9" t="s">
        <v>369</v>
      </c>
      <c r="C59" s="9" t="s">
        <v>2386</v>
      </c>
      <c r="D59" s="9" t="s">
        <v>114</v>
      </c>
      <c r="E59" s="17" t="s">
        <v>38</v>
      </c>
      <c r="F59" s="9" t="s">
        <v>119</v>
      </c>
    </row>
    <row r="60" spans="2:6" x14ac:dyDescent="0.2">
      <c r="B60" s="9" t="s">
        <v>130</v>
      </c>
      <c r="C60" s="9" t="s">
        <v>2377</v>
      </c>
      <c r="D60" s="9" t="s">
        <v>114</v>
      </c>
      <c r="E60" s="17" t="s">
        <v>38</v>
      </c>
      <c r="F60" s="9" t="s">
        <v>119</v>
      </c>
    </row>
    <row r="61" spans="2:6" x14ac:dyDescent="0.2">
      <c r="B61" s="9" t="s">
        <v>335</v>
      </c>
      <c r="C61" s="9" t="s">
        <v>2381</v>
      </c>
      <c r="D61" s="9" t="s">
        <v>114</v>
      </c>
      <c r="E61" s="17" t="s">
        <v>38</v>
      </c>
      <c r="F61" s="9" t="s">
        <v>119</v>
      </c>
    </row>
    <row r="62" spans="2:6" x14ac:dyDescent="0.2">
      <c r="B62" s="9" t="s">
        <v>334</v>
      </c>
      <c r="C62" s="9" t="s">
        <v>2382</v>
      </c>
      <c r="D62" s="9" t="s">
        <v>114</v>
      </c>
      <c r="E62" s="17" t="s">
        <v>38</v>
      </c>
      <c r="F62" s="9" t="s">
        <v>119</v>
      </c>
    </row>
    <row r="63" spans="2:6" x14ac:dyDescent="0.2">
      <c r="B63" s="9" t="s">
        <v>373</v>
      </c>
      <c r="C63" s="9" t="s">
        <v>2378</v>
      </c>
      <c r="D63" s="9" t="s">
        <v>114</v>
      </c>
      <c r="E63" s="17" t="s">
        <v>38</v>
      </c>
      <c r="F63" s="9" t="s">
        <v>119</v>
      </c>
    </row>
    <row r="64" spans="2:6" ht="12.75" x14ac:dyDescent="0.2">
      <c r="B64" s="32" t="s">
        <v>344</v>
      </c>
      <c r="C64" s="32" t="s">
        <v>1987</v>
      </c>
      <c r="D64" s="48" t="s">
        <v>1986</v>
      </c>
      <c r="E64" s="17" t="s">
        <v>32</v>
      </c>
      <c r="F64" s="9" t="s">
        <v>119</v>
      </c>
    </row>
    <row r="65" spans="2:6" x14ac:dyDescent="0.2">
      <c r="B65" s="9" t="s">
        <v>1993</v>
      </c>
      <c r="C65" s="9" t="s">
        <v>1994</v>
      </c>
      <c r="D65" s="9" t="s">
        <v>114</v>
      </c>
      <c r="E65" s="17" t="s">
        <v>38</v>
      </c>
      <c r="F65" s="9" t="s">
        <v>119</v>
      </c>
    </row>
    <row r="66" spans="2:6" x14ac:dyDescent="0.2">
      <c r="B66" s="9" t="s">
        <v>340</v>
      </c>
      <c r="C66" s="9" t="s">
        <v>2067</v>
      </c>
      <c r="D66" s="9" t="s">
        <v>1986</v>
      </c>
      <c r="E66" s="17" t="s">
        <v>32</v>
      </c>
      <c r="F66" s="9" t="s">
        <v>119</v>
      </c>
    </row>
    <row r="67" spans="2:6" x14ac:dyDescent="0.2">
      <c r="B67" s="9" t="s">
        <v>339</v>
      </c>
      <c r="C67" s="9" t="s">
        <v>2068</v>
      </c>
      <c r="D67" s="9" t="s">
        <v>1986</v>
      </c>
      <c r="E67" s="17" t="s">
        <v>32</v>
      </c>
      <c r="F67" s="9" t="s">
        <v>119</v>
      </c>
    </row>
    <row r="68" spans="2:6" x14ac:dyDescent="0.2">
      <c r="B68" s="9" t="s">
        <v>2113</v>
      </c>
      <c r="C68" s="9" t="s">
        <v>2114</v>
      </c>
      <c r="D68" s="9" t="s">
        <v>1986</v>
      </c>
      <c r="E68" s="17" t="s">
        <v>32</v>
      </c>
      <c r="F68" s="9" t="s">
        <v>119</v>
      </c>
    </row>
    <row r="69" spans="2:6" x14ac:dyDescent="0.2">
      <c r="B69" s="9" t="s">
        <v>343</v>
      </c>
      <c r="C69" s="9" t="s">
        <v>2364</v>
      </c>
      <c r="D69" s="9" t="s">
        <v>1986</v>
      </c>
      <c r="E69" s="17" t="s">
        <v>32</v>
      </c>
      <c r="F69" s="9" t="s">
        <v>119</v>
      </c>
    </row>
    <row r="70" spans="2:6" x14ac:dyDescent="0.2">
      <c r="B70" s="9" t="s">
        <v>342</v>
      </c>
      <c r="C70" s="9" t="s">
        <v>2365</v>
      </c>
      <c r="D70" s="9" t="s">
        <v>1986</v>
      </c>
      <c r="E70" s="17" t="s">
        <v>32</v>
      </c>
      <c r="F70" s="9" t="s">
        <v>119</v>
      </c>
    </row>
    <row r="71" spans="2:6" x14ac:dyDescent="0.2">
      <c r="B71" s="9" t="s">
        <v>341</v>
      </c>
      <c r="C71" s="9" t="s">
        <v>2366</v>
      </c>
      <c r="D71" s="9" t="s">
        <v>1986</v>
      </c>
      <c r="E71" s="17" t="s">
        <v>32</v>
      </c>
      <c r="F71" s="9" t="s">
        <v>119</v>
      </c>
    </row>
    <row r="72" spans="2:6" x14ac:dyDescent="0.2">
      <c r="B72" s="9" t="s">
        <v>338</v>
      </c>
      <c r="C72" s="9" t="s">
        <v>2368</v>
      </c>
      <c r="D72" s="9" t="s">
        <v>1986</v>
      </c>
      <c r="E72" s="17" t="s">
        <v>32</v>
      </c>
      <c r="F72" s="9" t="s">
        <v>119</v>
      </c>
    </row>
    <row r="73" spans="2:6" x14ac:dyDescent="0.2">
      <c r="B73" s="9" t="s">
        <v>337</v>
      </c>
      <c r="C73" s="9" t="s">
        <v>2369</v>
      </c>
      <c r="D73" s="9" t="s">
        <v>1986</v>
      </c>
      <c r="E73" s="17" t="s">
        <v>32</v>
      </c>
      <c r="F73" s="9" t="s">
        <v>119</v>
      </c>
    </row>
    <row r="74" spans="2:6" x14ac:dyDescent="0.2">
      <c r="B74" s="9" t="s">
        <v>390</v>
      </c>
      <c r="C74" s="9" t="s">
        <v>2390</v>
      </c>
      <c r="D74" s="9" t="s">
        <v>1986</v>
      </c>
      <c r="E74" s="17" t="s">
        <v>32</v>
      </c>
      <c r="F74" s="9" t="s">
        <v>119</v>
      </c>
    </row>
    <row r="75" spans="2:6" x14ac:dyDescent="0.2">
      <c r="B75" s="9" t="s">
        <v>389</v>
      </c>
      <c r="C75" s="9" t="s">
        <v>2391</v>
      </c>
      <c r="D75" s="9" t="s">
        <v>1986</v>
      </c>
      <c r="E75" s="17" t="s">
        <v>32</v>
      </c>
      <c r="F75" s="9" t="s">
        <v>119</v>
      </c>
    </row>
    <row r="80" spans="2:6" x14ac:dyDescent="0.2">
      <c r="B80" s="9" t="s">
        <v>2452</v>
      </c>
      <c r="C80" s="9" t="s">
        <v>2463</v>
      </c>
    </row>
    <row r="81" spans="2:3" x14ac:dyDescent="0.2">
      <c r="B81" s="9" t="s">
        <v>2453</v>
      </c>
      <c r="C81" s="9" t="s">
        <v>2464</v>
      </c>
    </row>
    <row r="82" spans="2:3" x14ac:dyDescent="0.2">
      <c r="B82" s="9" t="s">
        <v>2454</v>
      </c>
      <c r="C82" s="9" t="s">
        <v>2465</v>
      </c>
    </row>
    <row r="83" spans="2:3" x14ac:dyDescent="0.2">
      <c r="B83" s="9" t="s">
        <v>2455</v>
      </c>
      <c r="C83" s="9" t="s">
        <v>2466</v>
      </c>
    </row>
    <row r="84" spans="2:3" x14ac:dyDescent="0.2">
      <c r="B84" s="9" t="s">
        <v>2456</v>
      </c>
      <c r="C84" s="9" t="s">
        <v>2467</v>
      </c>
    </row>
    <row r="85" spans="2:3" x14ac:dyDescent="0.2">
      <c r="B85" s="9" t="s">
        <v>2457</v>
      </c>
      <c r="C85" s="9" t="s">
        <v>2468</v>
      </c>
    </row>
    <row r="86" spans="2:3" x14ac:dyDescent="0.2">
      <c r="B86" s="9" t="s">
        <v>2458</v>
      </c>
      <c r="C86" s="9" t="s">
        <v>2469</v>
      </c>
    </row>
    <row r="87" spans="2:3" x14ac:dyDescent="0.2">
      <c r="B87" s="9" t="s">
        <v>2459</v>
      </c>
      <c r="C87" s="9" t="s">
        <v>2470</v>
      </c>
    </row>
    <row r="88" spans="2:3" x14ac:dyDescent="0.2">
      <c r="B88" s="9" t="s">
        <v>2460</v>
      </c>
      <c r="C88" s="9" t="s">
        <v>2471</v>
      </c>
    </row>
    <row r="89" spans="2:3" x14ac:dyDescent="0.2">
      <c r="B89" s="9" t="s">
        <v>2461</v>
      </c>
      <c r="C89" s="9" t="s">
        <v>2472</v>
      </c>
    </row>
    <row r="90" spans="2:3" x14ac:dyDescent="0.2">
      <c r="B90" s="9" t="s">
        <v>2462</v>
      </c>
      <c r="C90" s="9" t="s">
        <v>2473</v>
      </c>
    </row>
  </sheetData>
  <phoneticPr fontId="21" type="noConversion"/>
  <pageMargins left="0.75" right="0.75" top="1" bottom="1" header="0.5" footer="0.5"/>
  <pageSetup paperSize="9" orientation="portrait" horizontalDpi="1200" verticalDpi="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72635-82B1-A74B-9270-970E8E67CA3D}">
  <sheetPr codeName="Sheet61"/>
  <dimension ref="B3:F26"/>
  <sheetViews>
    <sheetView workbookViewId="0"/>
  </sheetViews>
  <sheetFormatPr defaultColWidth="11.42578125" defaultRowHeight="12.75" x14ac:dyDescent="0.2"/>
  <cols>
    <col min="2" max="2" width="21" customWidth="1"/>
  </cols>
  <sheetData>
    <row r="3" spans="2:6" x14ac:dyDescent="0.2">
      <c r="B3" s="330" t="s">
        <v>2329</v>
      </c>
    </row>
    <row r="4" spans="2:6" x14ac:dyDescent="0.2">
      <c r="B4" s="330"/>
    </row>
    <row r="5" spans="2:6" x14ac:dyDescent="0.2">
      <c r="B5" s="330" t="s">
        <v>2331</v>
      </c>
    </row>
    <row r="6" spans="2:6" x14ac:dyDescent="0.2">
      <c r="B6" s="330"/>
      <c r="C6" s="330" t="s">
        <v>2333</v>
      </c>
      <c r="D6" s="330" t="s">
        <v>2334</v>
      </c>
      <c r="E6" s="330" t="s">
        <v>2335</v>
      </c>
      <c r="F6" s="330" t="s">
        <v>154</v>
      </c>
    </row>
    <row r="7" spans="2:6" x14ac:dyDescent="0.2">
      <c r="B7" s="1" t="s">
        <v>2330</v>
      </c>
    </row>
    <row r="8" spans="2:6" x14ac:dyDescent="0.2">
      <c r="B8" t="str">
        <f>LEFT(ProcDataGenPre2012!C9,1)&amp;LOWER(RIGHT(ProcDataGenPre2012!C9,LEN(ProcDataGenPre2012!C9)-1))</f>
        <v>Camden</v>
      </c>
    </row>
    <row r="9" spans="2:6" x14ac:dyDescent="0.2">
      <c r="B9" t="str">
        <f>LEFT(ProcDataGenPre2012!C10,1)&amp;LOWER(RIGHT(ProcDataGenPre2012!C10,LEN(ProcDataGenPre2012!C10)-1))</f>
        <v>Grootvlei</v>
      </c>
    </row>
    <row r="10" spans="2:6" x14ac:dyDescent="0.2">
      <c r="B10" t="str">
        <f>LEFT(ProcDataGenPre2012!C11,1)&amp;LOWER(RIGHT(ProcDataGenPre2012!C11,LEN(ProcDataGenPre2012!C11)-1))</f>
        <v>Komati</v>
      </c>
    </row>
    <row r="11" spans="2:6" x14ac:dyDescent="0.2">
      <c r="B11" t="str">
        <f>LEFT(ProcDataGenPre2012!C12,1)&amp;LOWER(RIGHT(ProcDataGenPre2012!C12,LEN(ProcDataGenPre2012!C12)-1))</f>
        <v>Arnot</v>
      </c>
    </row>
    <row r="12" spans="2:6" x14ac:dyDescent="0.2">
      <c r="B12" t="str">
        <f>LEFT(ProcDataGenPre2012!C13,1)&amp;LOWER(RIGHT(ProcDataGenPre2012!C13,LEN(ProcDataGenPre2012!C13)-1))</f>
        <v>Duvha</v>
      </c>
    </row>
    <row r="13" spans="2:6" x14ac:dyDescent="0.2">
      <c r="B13" t="str">
        <f>LEFT(ProcDataGenPre2012!C14,1)&amp;LOWER(RIGHT(ProcDataGenPre2012!C14,LEN(ProcDataGenPre2012!C14)-1))</f>
        <v>Hendrina</v>
      </c>
    </row>
    <row r="14" spans="2:6" x14ac:dyDescent="0.2">
      <c r="B14" t="str">
        <f>LEFT(ProcDataGenPre2012!C15,1)&amp;LOWER(RIGHT(ProcDataGenPre2012!C15,LEN(ProcDataGenPre2012!C15)-1))</f>
        <v>Kendal</v>
      </c>
    </row>
    <row r="15" spans="2:6" x14ac:dyDescent="0.2">
      <c r="B15" t="str">
        <f>LEFT(ProcDataGenPre2012!C16,1)&amp;LOWER(RIGHT(ProcDataGenPre2012!C16,LEN(ProcDataGenPre2012!C16)-1))</f>
        <v>Kriel</v>
      </c>
    </row>
    <row r="16" spans="2:6" x14ac:dyDescent="0.2">
      <c r="B16" t="str">
        <f>LEFT(ProcDataGenPre2012!C17,1)&amp;LOWER(RIGHT(ProcDataGenPre2012!C17,LEN(ProcDataGenPre2012!C17)-1))</f>
        <v>Lethabo</v>
      </c>
    </row>
    <row r="17" spans="2:2" x14ac:dyDescent="0.2">
      <c r="B17" t="str">
        <f>LEFT(ProcDataGenPre2012!C18,1)&amp;LOWER(RIGHT(ProcDataGenPre2012!C18,LEN(ProcDataGenPre2012!C18)-1))</f>
        <v>Majuba dry</v>
      </c>
    </row>
    <row r="18" spans="2:2" x14ac:dyDescent="0.2">
      <c r="B18" t="str">
        <f>LEFT(ProcDataGenPre2012!C19,1)&amp;LOWER(RIGHT(ProcDataGenPre2012!C19,LEN(ProcDataGenPre2012!C19)-1))</f>
        <v>Majuba wet</v>
      </c>
    </row>
    <row r="19" spans="2:2" x14ac:dyDescent="0.2">
      <c r="B19" t="str">
        <f>LEFT(ProcDataGenPre2012!C20,1)&amp;LOWER(RIGHT(ProcDataGenPre2012!C20,LEN(ProcDataGenPre2012!C20)-1))</f>
        <v>Matimba</v>
      </c>
    </row>
    <row r="20" spans="2:2" x14ac:dyDescent="0.2">
      <c r="B20" t="str">
        <f>LEFT(ProcDataGenPre2012!C21,1)&amp;LOWER(RIGHT(ProcDataGenPre2012!C21,LEN(ProcDataGenPre2012!C21)-1))</f>
        <v>Matla</v>
      </c>
    </row>
    <row r="21" spans="2:2" x14ac:dyDescent="0.2">
      <c r="B21" t="str">
        <f>LEFT(ProcDataGenPre2012!C22,1)&amp;LOWER(RIGHT(ProcDataGenPre2012!C22,LEN(ProcDataGenPre2012!C22)-1))</f>
        <v>Tutuka</v>
      </c>
    </row>
    <row r="23" spans="2:2" x14ac:dyDescent="0.2">
      <c r="B23" s="1" t="s">
        <v>2332</v>
      </c>
    </row>
    <row r="25" spans="2:2" x14ac:dyDescent="0.2">
      <c r="B25" s="1" t="s">
        <v>2336</v>
      </c>
    </row>
    <row r="26" spans="2:2" x14ac:dyDescent="0.2">
      <c r="B26" s="330" t="s">
        <v>154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2381-F146-4EEA-85A7-746CF70C17C9}">
  <sheetPr codeName="Sheet33">
    <tabColor rgb="FF00B0F0"/>
  </sheetPr>
  <dimension ref="A1:CC30"/>
  <sheetViews>
    <sheetView zoomScale="110" zoomScaleNormal="110" workbookViewId="0">
      <pane xSplit="4" ySplit="8" topLeftCell="BF9" activePane="bottomRight" state="frozen"/>
      <selection pane="topRight" activeCell="E1" sqref="E1"/>
      <selection pane="bottomLeft" activeCell="A9" sqref="A9"/>
      <selection pane="bottomRight" activeCell="BS30" sqref="BS30"/>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6" width="10.140625" style="30" customWidth="1"/>
    <col min="7" max="14" width="9.140625" style="30"/>
    <col min="15" max="15" width="9.140625" style="30" customWidth="1"/>
    <col min="16" max="35" width="9.140625" style="30"/>
    <col min="36" max="36" width="11.5703125" style="30" customWidth="1"/>
    <col min="37" max="16384" width="9.140625" style="30"/>
  </cols>
  <sheetData>
    <row r="1" spans="1:81" ht="11.25" customHeight="1" x14ac:dyDescent="0.2">
      <c r="A1" s="47"/>
      <c r="B1" s="9"/>
      <c r="R1" s="30" t="s">
        <v>92</v>
      </c>
      <c r="S1" s="30" t="s">
        <v>92</v>
      </c>
      <c r="T1" s="30" t="s">
        <v>92</v>
      </c>
      <c r="U1" s="30" t="s">
        <v>92</v>
      </c>
      <c r="AF1" s="30" t="s">
        <v>92</v>
      </c>
      <c r="AG1" s="30" t="s">
        <v>92</v>
      </c>
      <c r="AH1" s="30" t="s">
        <v>92</v>
      </c>
      <c r="AI1" s="30" t="s">
        <v>92</v>
      </c>
      <c r="BG1" s="30" t="s">
        <v>92</v>
      </c>
      <c r="BH1" s="30" t="s">
        <v>92</v>
      </c>
      <c r="BI1" s="30" t="s">
        <v>92</v>
      </c>
      <c r="BJ1" s="30" t="s">
        <v>92</v>
      </c>
      <c r="BK1" s="30" t="s">
        <v>92</v>
      </c>
      <c r="BL1" s="30" t="s">
        <v>92</v>
      </c>
      <c r="BM1" s="30" t="s">
        <v>92</v>
      </c>
      <c r="BN1" s="30" t="s">
        <v>92</v>
      </c>
      <c r="BO1" s="30" t="s">
        <v>92</v>
      </c>
      <c r="BP1" s="30" t="s">
        <v>92</v>
      </c>
      <c r="BQ1" s="30" t="s">
        <v>92</v>
      </c>
      <c r="BR1" s="30" t="s">
        <v>92</v>
      </c>
      <c r="BS1" s="30" t="s">
        <v>92</v>
      </c>
      <c r="BT1" s="30" t="s">
        <v>92</v>
      </c>
    </row>
    <row r="2" spans="1:81" ht="11.25" customHeight="1" x14ac:dyDescent="0.2">
      <c r="A2" s="45"/>
    </row>
    <row r="3" spans="1:81" ht="34.5" customHeight="1" x14ac:dyDescent="0.2">
      <c r="G3" s="59" t="s">
        <v>143</v>
      </c>
      <c r="H3" s="59" t="s">
        <v>1875</v>
      </c>
      <c r="I3" s="59" t="s">
        <v>364</v>
      </c>
      <c r="J3" s="59" t="s">
        <v>363</v>
      </c>
      <c r="K3" s="59" t="s">
        <v>362</v>
      </c>
      <c r="L3" s="59" t="s">
        <v>361</v>
      </c>
      <c r="M3" s="59" t="s">
        <v>153</v>
      </c>
      <c r="N3" s="59" t="s">
        <v>142</v>
      </c>
      <c r="O3" s="59" t="s">
        <v>360</v>
      </c>
      <c r="R3" s="30" t="s">
        <v>359</v>
      </c>
      <c r="S3" s="30" t="s">
        <v>359</v>
      </c>
      <c r="T3" s="30" t="s">
        <v>359</v>
      </c>
      <c r="U3" s="30" t="s">
        <v>359</v>
      </c>
      <c r="V3" s="30" t="s">
        <v>359</v>
      </c>
      <c r="W3" s="30" t="s">
        <v>359</v>
      </c>
      <c r="X3" s="30" t="s">
        <v>359</v>
      </c>
      <c r="Y3" s="30" t="s">
        <v>359</v>
      </c>
      <c r="Z3" s="30" t="s">
        <v>359</v>
      </c>
      <c r="AA3" s="30" t="s">
        <v>359</v>
      </c>
      <c r="AB3" s="30" t="s">
        <v>359</v>
      </c>
      <c r="AC3" s="30" t="s">
        <v>359</v>
      </c>
      <c r="AD3" s="30" t="s">
        <v>359</v>
      </c>
      <c r="AE3" s="30" t="s">
        <v>359</v>
      </c>
      <c r="AF3" s="30" t="s">
        <v>358</v>
      </c>
      <c r="AG3" s="30" t="s">
        <v>358</v>
      </c>
      <c r="AH3" s="30" t="s">
        <v>358</v>
      </c>
      <c r="AI3" s="30" t="s">
        <v>358</v>
      </c>
      <c r="AJ3" s="30" t="s">
        <v>357</v>
      </c>
      <c r="AK3" s="30" t="s">
        <v>356</v>
      </c>
      <c r="AL3" s="30" t="s">
        <v>355</v>
      </c>
    </row>
    <row r="4" spans="1:81" ht="21.75" customHeight="1" x14ac:dyDescent="0.2">
      <c r="D4" s="58"/>
      <c r="E4" s="58"/>
      <c r="F4" s="58"/>
      <c r="G4" s="46" t="s">
        <v>118</v>
      </c>
      <c r="H4" s="46" t="s">
        <v>1876</v>
      </c>
      <c r="I4" s="46" t="s">
        <v>354</v>
      </c>
      <c r="J4" s="46" t="s">
        <v>117</v>
      </c>
      <c r="K4" s="46" t="s">
        <v>146</v>
      </c>
      <c r="L4" s="46" t="s">
        <v>353</v>
      </c>
      <c r="M4" s="46" t="s">
        <v>352</v>
      </c>
      <c r="N4" s="46" t="s">
        <v>116</v>
      </c>
      <c r="O4" s="46" t="s">
        <v>351</v>
      </c>
      <c r="P4" s="57" t="s">
        <v>350</v>
      </c>
      <c r="Q4" s="57" t="s">
        <v>350</v>
      </c>
      <c r="R4" s="57" t="s">
        <v>349</v>
      </c>
      <c r="S4" s="57" t="s">
        <v>349</v>
      </c>
      <c r="T4" s="57" t="s">
        <v>349</v>
      </c>
      <c r="U4" s="57" t="s">
        <v>349</v>
      </c>
      <c r="V4" s="57" t="s">
        <v>349</v>
      </c>
      <c r="W4" s="57" t="s">
        <v>349</v>
      </c>
      <c r="X4" s="57" t="s">
        <v>349</v>
      </c>
      <c r="Y4" s="57" t="s">
        <v>349</v>
      </c>
      <c r="Z4" s="57" t="s">
        <v>349</v>
      </c>
      <c r="AA4" s="57" t="s">
        <v>349</v>
      </c>
      <c r="AB4" s="57" t="s">
        <v>349</v>
      </c>
      <c r="AC4" s="57" t="s">
        <v>349</v>
      </c>
      <c r="AD4" s="57" t="s">
        <v>349</v>
      </c>
      <c r="AE4" s="57" t="s">
        <v>349</v>
      </c>
      <c r="AF4" s="57" t="s">
        <v>348</v>
      </c>
      <c r="AG4" s="57" t="s">
        <v>348</v>
      </c>
      <c r="AH4" s="57" t="s">
        <v>348</v>
      </c>
      <c r="AI4" s="57" t="s">
        <v>348</v>
      </c>
      <c r="AJ4" s="57" t="s">
        <v>347</v>
      </c>
      <c r="AK4" s="57" t="s">
        <v>346</v>
      </c>
      <c r="AL4" s="57" t="s">
        <v>345</v>
      </c>
      <c r="AM4" s="57" t="s">
        <v>345</v>
      </c>
      <c r="AN4" s="57" t="s">
        <v>345</v>
      </c>
      <c r="AO4" s="57" t="s">
        <v>345</v>
      </c>
      <c r="AP4" s="57" t="s">
        <v>345</v>
      </c>
      <c r="AQ4" s="57" t="s">
        <v>345</v>
      </c>
      <c r="AR4" s="57" t="s">
        <v>345</v>
      </c>
      <c r="AS4" s="57" t="s">
        <v>345</v>
      </c>
      <c r="AT4" s="57" t="s">
        <v>144</v>
      </c>
      <c r="AU4" s="57" t="s">
        <v>144</v>
      </c>
      <c r="AV4" s="57" t="s">
        <v>144</v>
      </c>
      <c r="AW4" s="57" t="s">
        <v>144</v>
      </c>
      <c r="AX4" s="57" t="s">
        <v>144</v>
      </c>
      <c r="AY4" s="57" t="s">
        <v>144</v>
      </c>
      <c r="AZ4" s="57" t="s">
        <v>144</v>
      </c>
      <c r="BA4" s="57" t="s">
        <v>144</v>
      </c>
      <c r="BB4" s="57" t="s">
        <v>144</v>
      </c>
      <c r="BC4" s="57" t="s">
        <v>144</v>
      </c>
      <c r="BD4" s="57" t="s">
        <v>144</v>
      </c>
      <c r="BE4" s="57" t="s">
        <v>144</v>
      </c>
      <c r="BF4" s="57" t="s">
        <v>144</v>
      </c>
      <c r="BG4" s="57" t="s">
        <v>144</v>
      </c>
      <c r="BH4" s="57" t="s">
        <v>144</v>
      </c>
      <c r="BI4" s="57" t="s">
        <v>144</v>
      </c>
      <c r="BJ4" s="57" t="s">
        <v>144</v>
      </c>
      <c r="BK4" s="57" t="s">
        <v>144</v>
      </c>
      <c r="BL4" s="57" t="s">
        <v>144</v>
      </c>
      <c r="BM4" s="57" t="s">
        <v>144</v>
      </c>
      <c r="BN4" s="57" t="s">
        <v>144</v>
      </c>
      <c r="BO4" s="57" t="s">
        <v>144</v>
      </c>
      <c r="BP4" s="57" t="s">
        <v>144</v>
      </c>
      <c r="BQ4" s="57" t="s">
        <v>144</v>
      </c>
      <c r="BR4" s="57" t="s">
        <v>144</v>
      </c>
      <c r="BS4" s="57" t="s">
        <v>144</v>
      </c>
      <c r="BT4" s="57" t="s">
        <v>144</v>
      </c>
      <c r="BU4" s="57" t="s">
        <v>144</v>
      </c>
      <c r="BV4" s="57" t="s">
        <v>144</v>
      </c>
      <c r="BW4" s="57" t="s">
        <v>144</v>
      </c>
      <c r="BX4" s="57" t="s">
        <v>144</v>
      </c>
      <c r="BY4" s="57" t="s">
        <v>144</v>
      </c>
      <c r="BZ4" s="57" t="s">
        <v>144</v>
      </c>
      <c r="CA4" s="57" t="s">
        <v>144</v>
      </c>
      <c r="CB4" s="57" t="s">
        <v>144</v>
      </c>
      <c r="CC4" s="57" t="s">
        <v>144</v>
      </c>
    </row>
    <row r="5" spans="1:81" ht="16.5" customHeight="1" x14ac:dyDescent="0.2">
      <c r="G5" s="46" t="s">
        <v>27</v>
      </c>
      <c r="H5" s="46" t="s">
        <v>129</v>
      </c>
      <c r="I5" s="46"/>
      <c r="J5" s="46"/>
      <c r="N5" s="56"/>
      <c r="O5" s="46" t="s">
        <v>119</v>
      </c>
      <c r="P5" s="30">
        <v>0</v>
      </c>
      <c r="R5" s="30">
        <v>2017</v>
      </c>
      <c r="S5" s="30">
        <v>2018</v>
      </c>
      <c r="T5" s="30">
        <v>2019</v>
      </c>
      <c r="U5" s="30">
        <v>2020</v>
      </c>
      <c r="V5" s="30">
        <v>2021</v>
      </c>
      <c r="W5" s="30">
        <v>2022</v>
      </c>
      <c r="X5" s="30">
        <v>2023</v>
      </c>
      <c r="Y5" s="30">
        <v>2024</v>
      </c>
      <c r="Z5" s="30">
        <v>2025</v>
      </c>
      <c r="AA5" s="30">
        <v>2026</v>
      </c>
      <c r="AB5" s="30">
        <v>2027</v>
      </c>
      <c r="AC5" s="30">
        <v>2028</v>
      </c>
      <c r="AD5" s="30">
        <v>2029</v>
      </c>
      <c r="AE5" s="30">
        <v>2030</v>
      </c>
      <c r="AF5" s="30">
        <v>2017</v>
      </c>
      <c r="AG5" s="30">
        <v>2018</v>
      </c>
      <c r="AH5" s="30">
        <v>2019</v>
      </c>
      <c r="AI5" s="30">
        <v>2020</v>
      </c>
      <c r="AJ5" s="46" t="s">
        <v>27</v>
      </c>
      <c r="AK5" s="46" t="s">
        <v>344</v>
      </c>
      <c r="AL5" s="46" t="s">
        <v>2482</v>
      </c>
      <c r="AM5" s="46" t="s">
        <v>2483</v>
      </c>
      <c r="AN5" s="46" t="s">
        <v>2476</v>
      </c>
      <c r="AO5" s="46" t="s">
        <v>2477</v>
      </c>
      <c r="AP5" s="46" t="s">
        <v>2478</v>
      </c>
      <c r="AQ5" s="46" t="s">
        <v>2479</v>
      </c>
      <c r="AR5" s="46" t="s">
        <v>2480</v>
      </c>
      <c r="AS5" s="46" t="s">
        <v>2481</v>
      </c>
      <c r="AT5" s="30">
        <v>2017</v>
      </c>
      <c r="AU5" s="30">
        <v>2019</v>
      </c>
      <c r="AV5" s="30">
        <v>2020</v>
      </c>
      <c r="AW5" s="30">
        <v>2021</v>
      </c>
      <c r="AX5" s="30">
        <v>2022</v>
      </c>
      <c r="AY5" s="30">
        <v>2023</v>
      </c>
      <c r="AZ5" s="30">
        <v>2024</v>
      </c>
      <c r="BA5" s="30">
        <v>2025</v>
      </c>
      <c r="BB5" s="30">
        <v>2026</v>
      </c>
      <c r="BC5" s="30">
        <v>2027</v>
      </c>
      <c r="BD5" s="30">
        <v>2028</v>
      </c>
      <c r="BE5" s="30">
        <v>2029</v>
      </c>
      <c r="BF5" s="30">
        <v>2030</v>
      </c>
      <c r="BG5" s="30">
        <v>2031</v>
      </c>
      <c r="BH5" s="30">
        <v>2032</v>
      </c>
      <c r="BI5" s="30">
        <v>2033</v>
      </c>
      <c r="BJ5" s="30">
        <v>2034</v>
      </c>
      <c r="BK5" s="30">
        <v>2035</v>
      </c>
      <c r="BL5" s="30">
        <v>2036</v>
      </c>
      <c r="BM5" s="30">
        <v>2037</v>
      </c>
      <c r="BN5" s="30">
        <v>2038</v>
      </c>
      <c r="BO5" s="30">
        <v>2039</v>
      </c>
      <c r="BP5" s="30">
        <v>2040</v>
      </c>
      <c r="BQ5" s="30">
        <v>2041</v>
      </c>
      <c r="BR5" s="30">
        <v>2042</v>
      </c>
      <c r="BS5" s="30">
        <v>2043</v>
      </c>
      <c r="BT5" s="30">
        <v>2044</v>
      </c>
      <c r="BU5" s="30">
        <v>2045</v>
      </c>
      <c r="BV5" s="30">
        <v>2046</v>
      </c>
      <c r="BW5" s="30">
        <v>2047</v>
      </c>
      <c r="BX5" s="30">
        <v>2048</v>
      </c>
      <c r="BY5" s="30">
        <v>2049</v>
      </c>
      <c r="BZ5" s="30">
        <v>2050</v>
      </c>
      <c r="CA5" s="30">
        <v>2051</v>
      </c>
      <c r="CB5" s="30">
        <v>2060</v>
      </c>
      <c r="CC5" s="30">
        <v>2070</v>
      </c>
    </row>
    <row r="6" spans="1:81" ht="17.25" customHeight="1" x14ac:dyDescent="0.2">
      <c r="E6" s="30" t="s">
        <v>2451</v>
      </c>
      <c r="G6" s="46" t="s">
        <v>119</v>
      </c>
      <c r="H6" s="46" t="s">
        <v>119</v>
      </c>
      <c r="I6" s="46"/>
      <c r="J6" s="46"/>
      <c r="N6" s="56"/>
      <c r="AJ6" s="46" t="s">
        <v>336</v>
      </c>
      <c r="AK6" s="46" t="s">
        <v>119</v>
      </c>
      <c r="AL6" s="46" t="s">
        <v>119</v>
      </c>
      <c r="AM6" s="46" t="s">
        <v>119</v>
      </c>
      <c r="AN6" s="46" t="s">
        <v>119</v>
      </c>
      <c r="AO6" s="46" t="s">
        <v>119</v>
      </c>
      <c r="AP6" s="46" t="s">
        <v>119</v>
      </c>
      <c r="AQ6" s="46" t="s">
        <v>119</v>
      </c>
      <c r="AR6" s="46" t="s">
        <v>119</v>
      </c>
      <c r="AS6" s="46" t="s">
        <v>119</v>
      </c>
      <c r="AT6" s="46"/>
      <c r="AU6" s="46"/>
      <c r="AV6" s="46"/>
    </row>
    <row r="7" spans="1:81" ht="21.75" customHeight="1" x14ac:dyDescent="0.2">
      <c r="B7" s="47" t="s">
        <v>2411</v>
      </c>
      <c r="C7" s="47" t="s">
        <v>2412</v>
      </c>
      <c r="D7" s="47" t="s">
        <v>2421</v>
      </c>
      <c r="E7" s="47" t="s">
        <v>2422</v>
      </c>
      <c r="F7" s="55" t="s">
        <v>2429</v>
      </c>
      <c r="G7" s="30" t="str">
        <f>IFERROR(REPLACE(G4,SEARCH("-",G4),1,"~"),G4)</f>
        <v>ACT_EFF</v>
      </c>
      <c r="H7" s="59" t="s">
        <v>2427</v>
      </c>
      <c r="I7" s="59" t="str">
        <f t="shared" ref="I7:Q7" si="0">IFERROR(REPLACE(I4,SEARCH("-",I4),1,"~"),I4)</f>
        <v>STG_EFF</v>
      </c>
      <c r="J7" s="59" t="str">
        <f t="shared" si="0"/>
        <v>ACT_COST</v>
      </c>
      <c r="K7" s="59" t="str">
        <f t="shared" si="0"/>
        <v>NCAP_FOM</v>
      </c>
      <c r="L7" s="59" t="str">
        <f t="shared" si="0"/>
        <v>NCAP_COST</v>
      </c>
      <c r="M7" s="59" t="str">
        <f t="shared" si="0"/>
        <v>NCAP_TLIFE</v>
      </c>
      <c r="N7" s="59" t="str">
        <f t="shared" si="0"/>
        <v>PRC_CAPACT</v>
      </c>
      <c r="O7" s="59" t="str">
        <f t="shared" si="0"/>
        <v>NCAP_PKCNT</v>
      </c>
      <c r="P7" s="59" t="str">
        <f t="shared" ref="P7:AI7" si="1">IFERROR(REPLACE(P4,SEARCH("-",P4),1,"~"),P4)&amp;"~"&amp;P5</f>
        <v>NCAP_BND~UP~0</v>
      </c>
      <c r="Q7" s="59" t="str">
        <f t="shared" si="0"/>
        <v>NCAP_BND~UP</v>
      </c>
      <c r="R7" s="59" t="str">
        <f t="shared" si="1"/>
        <v>NCAP_AFA~UP~2017</v>
      </c>
      <c r="S7" s="59" t="str">
        <f t="shared" si="1"/>
        <v>NCAP_AFA~UP~2018</v>
      </c>
      <c r="T7" s="59" t="str">
        <f t="shared" si="1"/>
        <v>NCAP_AFA~UP~2019</v>
      </c>
      <c r="U7" s="59" t="str">
        <f t="shared" si="1"/>
        <v>NCAP_AFA~UP~2020</v>
      </c>
      <c r="V7" s="59" t="str">
        <f t="shared" si="1"/>
        <v>NCAP_AFA~UP~2021</v>
      </c>
      <c r="W7" s="59" t="str">
        <f t="shared" si="1"/>
        <v>NCAP_AFA~UP~2022</v>
      </c>
      <c r="X7" s="59" t="str">
        <f t="shared" si="1"/>
        <v>NCAP_AFA~UP~2023</v>
      </c>
      <c r="Y7" s="59" t="str">
        <f t="shared" si="1"/>
        <v>NCAP_AFA~UP~2024</v>
      </c>
      <c r="Z7" s="59" t="str">
        <f t="shared" si="1"/>
        <v>NCAP_AFA~UP~2025</v>
      </c>
      <c r="AA7" s="59" t="str">
        <f t="shared" si="1"/>
        <v>NCAP_AFA~UP~2026</v>
      </c>
      <c r="AB7" s="59" t="str">
        <f t="shared" si="1"/>
        <v>NCAP_AFA~UP~2027</v>
      </c>
      <c r="AC7" s="59" t="str">
        <f t="shared" si="1"/>
        <v>NCAP_AFA~UP~2028</v>
      </c>
      <c r="AD7" s="59" t="str">
        <f t="shared" si="1"/>
        <v>NCAP_AFA~UP~2029</v>
      </c>
      <c r="AE7" s="59" t="str">
        <f t="shared" si="1"/>
        <v>NCAP_AFA~UP~2030</v>
      </c>
      <c r="AF7" s="59" t="str">
        <f t="shared" si="1"/>
        <v>NCAP_AFA~LO~2017</v>
      </c>
      <c r="AG7" s="59" t="str">
        <f t="shared" si="1"/>
        <v>NCAP_AFA~LO~2018</v>
      </c>
      <c r="AH7" s="59" t="str">
        <f t="shared" si="1"/>
        <v>NCAP_AFA~LO~2019</v>
      </c>
      <c r="AI7" s="59" t="str">
        <f t="shared" si="1"/>
        <v>NCAP_AFA~LO~2020</v>
      </c>
      <c r="AJ7" s="59" t="str">
        <f>IFERROR(REPLACE(AJ4,SEARCH("-",AJ4),1,"~"),AJ4)&amp;"~DAYNITE"</f>
        <v>NCAP_AFC~DAYNITE</v>
      </c>
      <c r="AK7" s="59" t="s">
        <v>2445</v>
      </c>
      <c r="AL7" s="483" t="str">
        <f>"FLO_EMIS~"&amp;AL5</f>
        <v>FLO_EMIS~CO2C</v>
      </c>
      <c r="AM7" s="483" t="str">
        <f t="shared" ref="AM7:AS7" si="2">"FLO_EMIS~"&amp;AM5</f>
        <v>FLO_EMIS~CH4C</v>
      </c>
      <c r="AN7" s="483" t="str">
        <f t="shared" si="2"/>
        <v>FLO_EMIS~N2OS</v>
      </c>
      <c r="AO7" s="483" t="str">
        <f t="shared" si="2"/>
        <v>FLO_EMIS~SOXS</v>
      </c>
      <c r="AP7" s="483" t="str">
        <f t="shared" si="2"/>
        <v>FLO_EMIS~NOXS</v>
      </c>
      <c r="AQ7" s="483" t="str">
        <f t="shared" si="2"/>
        <v>FLO_EMIS~CMOX</v>
      </c>
      <c r="AR7" s="483" t="str">
        <f t="shared" si="2"/>
        <v>FLO_EMIS~NMVS</v>
      </c>
      <c r="AS7" s="483" t="str">
        <f t="shared" si="2"/>
        <v>FLO_EMIS~PM10S</v>
      </c>
      <c r="AT7" s="59" t="str">
        <f t="shared" ref="AT7:BP7" si="3">IFERROR(REPLACE(AT4,SEARCH("-",AT4),1,"~"),AT4)&amp;"~"&amp;AT5</f>
        <v>PRC_RESID~2017</v>
      </c>
      <c r="AU7" s="59" t="str">
        <f t="shared" si="3"/>
        <v>PRC_RESID~2019</v>
      </c>
      <c r="AV7" s="59" t="str">
        <f t="shared" si="3"/>
        <v>PRC_RESID~2020</v>
      </c>
      <c r="AW7" s="59" t="str">
        <f t="shared" si="3"/>
        <v>PRC_RESID~2021</v>
      </c>
      <c r="AX7" s="59" t="str">
        <f t="shared" si="3"/>
        <v>PRC_RESID~2022</v>
      </c>
      <c r="AY7" s="59" t="str">
        <f t="shared" si="3"/>
        <v>PRC_RESID~2023</v>
      </c>
      <c r="AZ7" s="59" t="str">
        <f t="shared" si="3"/>
        <v>PRC_RESID~2024</v>
      </c>
      <c r="BA7" s="59" t="str">
        <f t="shared" si="3"/>
        <v>PRC_RESID~2025</v>
      </c>
      <c r="BB7" s="59" t="str">
        <f t="shared" si="3"/>
        <v>PRC_RESID~2026</v>
      </c>
      <c r="BC7" s="59" t="str">
        <f t="shared" si="3"/>
        <v>PRC_RESID~2027</v>
      </c>
      <c r="BD7" s="59" t="str">
        <f t="shared" si="3"/>
        <v>PRC_RESID~2028</v>
      </c>
      <c r="BE7" s="59" t="str">
        <f t="shared" si="3"/>
        <v>PRC_RESID~2029</v>
      </c>
      <c r="BF7" s="59" t="str">
        <f t="shared" si="3"/>
        <v>PRC_RESID~2030</v>
      </c>
      <c r="BG7" s="59" t="str">
        <f t="shared" si="3"/>
        <v>PRC_RESID~2031</v>
      </c>
      <c r="BH7" s="59" t="str">
        <f t="shared" si="3"/>
        <v>PRC_RESID~2032</v>
      </c>
      <c r="BI7" s="59" t="str">
        <f t="shared" si="3"/>
        <v>PRC_RESID~2033</v>
      </c>
      <c r="BJ7" s="59" t="str">
        <f t="shared" si="3"/>
        <v>PRC_RESID~2034</v>
      </c>
      <c r="BK7" s="59" t="str">
        <f t="shared" si="3"/>
        <v>PRC_RESID~2035</v>
      </c>
      <c r="BL7" s="59" t="str">
        <f t="shared" si="3"/>
        <v>PRC_RESID~2036</v>
      </c>
      <c r="BM7" s="59" t="str">
        <f t="shared" si="3"/>
        <v>PRC_RESID~2037</v>
      </c>
      <c r="BN7" s="59" t="str">
        <f t="shared" si="3"/>
        <v>PRC_RESID~2038</v>
      </c>
      <c r="BO7" s="59" t="str">
        <f t="shared" si="3"/>
        <v>PRC_RESID~2039</v>
      </c>
      <c r="BP7" s="59" t="str">
        <f t="shared" si="3"/>
        <v>PRC_RESID~2040</v>
      </c>
      <c r="BQ7" s="59" t="str">
        <f t="shared" ref="BQ7:BT7" si="4">IFERROR(REPLACE(BQ4,SEARCH("-",BQ4),1,"~"),BQ4)&amp;"~"&amp;BQ5</f>
        <v>PRC_RESID~2041</v>
      </c>
      <c r="BR7" s="59" t="str">
        <f t="shared" si="4"/>
        <v>PRC_RESID~2042</v>
      </c>
      <c r="BS7" s="59" t="str">
        <f t="shared" si="4"/>
        <v>PRC_RESID~2043</v>
      </c>
      <c r="BT7" s="59" t="str">
        <f t="shared" si="4"/>
        <v>PRC_RESID~2044</v>
      </c>
      <c r="BU7" s="59" t="str">
        <f>IFERROR(REPLACE(BU4,SEARCH("-",BU4),1,"~"),BU4)&amp;"~"&amp;BU5</f>
        <v>PRC_RESID~2045</v>
      </c>
      <c r="BV7" s="59" t="str">
        <f t="shared" ref="BV7:BY7" si="5">IFERROR(REPLACE(BV4,SEARCH("-",BV4),1,"~"),BV4)&amp;"~"&amp;BV5</f>
        <v>PRC_RESID~2046</v>
      </c>
      <c r="BW7" s="59" t="str">
        <f t="shared" si="5"/>
        <v>PRC_RESID~2047</v>
      </c>
      <c r="BX7" s="59" t="str">
        <f t="shared" si="5"/>
        <v>PRC_RESID~2048</v>
      </c>
      <c r="BY7" s="59" t="str">
        <f t="shared" si="5"/>
        <v>PRC_RESID~2049</v>
      </c>
      <c r="BZ7" s="59" t="str">
        <f>IFERROR(REPLACE(BZ4,SEARCH("-",BZ4),1,"~"),BZ4)&amp;"~"&amp;BZ5</f>
        <v>PRC_RESID~2050</v>
      </c>
      <c r="CA7" s="59" t="str">
        <f>IFERROR(REPLACE(CA4,SEARCH("-",CA4),1,"~"),CA4)&amp;"~"&amp;CA5</f>
        <v>PRC_RESID~2051</v>
      </c>
      <c r="CB7" s="59" t="str">
        <f>IFERROR(REPLACE(CB4,SEARCH("-",CB4),1,"~"),CB4)&amp;"~"&amp;CB5</f>
        <v>PRC_RESID~2060</v>
      </c>
      <c r="CC7" s="59" t="str">
        <f>IFERROR(REPLACE(CC4,SEARCH("-",CC4),1,"~"),CC4)&amp;"~"&amp;CC5</f>
        <v>PRC_RESID~2070</v>
      </c>
    </row>
    <row r="8" spans="1:81" ht="11.25" customHeight="1" x14ac:dyDescent="0.2">
      <c r="B8" s="33" t="s">
        <v>1776</v>
      </c>
      <c r="E8" s="36"/>
      <c r="F8" s="37"/>
      <c r="Q8" s="37"/>
      <c r="AK8" s="37"/>
      <c r="AN8" s="37"/>
      <c r="AO8" s="37"/>
      <c r="AW8" s="37"/>
    </row>
    <row r="9" spans="1:81" s="37" customFormat="1" ht="11.25" customHeight="1" x14ac:dyDescent="0.2">
      <c r="A9" s="30" t="str">
        <f>C9</f>
        <v>CAMDEN</v>
      </c>
      <c r="B9" s="30" t="str">
        <f>Processes!B9</f>
        <v>ETCLECAMD-E</v>
      </c>
      <c r="C9" s="30" t="str">
        <f>Processes!C9</f>
        <v>CAMDEN</v>
      </c>
      <c r="D9" s="43" t="str">
        <f t="shared" ref="D9:D17" si="6">"PWR"&amp;MID(B9,3,7)</f>
        <v>PWRCLECAMD</v>
      </c>
      <c r="E9" s="30" t="s">
        <v>129</v>
      </c>
      <c r="F9" s="37" t="str">
        <f>D9</f>
        <v>PWRCLECAMD</v>
      </c>
      <c r="G9" s="39"/>
      <c r="H9" s="41">
        <f>INDEX('eskom production 2009-YTD'!$Q$35:$Q$62,MATCH(C9,'eskom production 2009-YTD'!$A$35:$A$62,0))</f>
        <v>0.2805027762784329</v>
      </c>
      <c r="I9" s="39"/>
      <c r="J9" s="39">
        <f>INDEX(ElecBY!$S$82:$S$103,MATCH(B9,ElecBY!$D$82:$D$103,0))</f>
        <v>13.031476138327839</v>
      </c>
      <c r="K9" s="39">
        <f>INDEX(ElecBY!$O$82:$O$103,MATCH(B9,ElecBY!$D$82:$D$103,0))</f>
        <v>543.03708177844862</v>
      </c>
      <c r="L9" s="39">
        <f>INDEX(ElecBY!$K$82:$K$103,MATCH(B9,ElecBY!$D$82:$D$103,0))</f>
        <v>12066.046460195865</v>
      </c>
      <c r="M9" s="49">
        <v>30</v>
      </c>
      <c r="N9" s="30">
        <v>31.536000000000001</v>
      </c>
      <c r="O9" s="30">
        <v>1</v>
      </c>
      <c r="P9" s="37">
        <v>5</v>
      </c>
      <c r="Q9" s="37">
        <v>0</v>
      </c>
      <c r="R9" s="51">
        <f>INDEX('eskom production 2009-YTD'!$J$100:$AB$115,MATCH($C9,'eskom production 2009-YTD'!$A$100:$A$115,0),MATCH(R$5,'eskom production 2009-YTD'!$J$65:$AB$65,0))</f>
        <v>0.54111740129475128</v>
      </c>
      <c r="S9" s="51">
        <f>R9*HistoricalDispatch!$B$5/HistoricalDispatch!$B$4</f>
        <v>0.5458421750378587</v>
      </c>
      <c r="T9" s="51">
        <f>S9*HistoricalDispatch!$B$6/HistoricalDispatch!$B$5</f>
        <v>0.52298965046383672</v>
      </c>
      <c r="U9" s="51">
        <f>INDEX('eskom production 2009-YTD'!$J$100:$AB$115,MATCH($C9,'eskom production 2009-YTD'!$A$100:$A$115,0),MATCH(U$5,'eskom production 2009-YTD'!$J$65:$AB$65,0))</f>
        <v>0.6</v>
      </c>
      <c r="V9" s="51">
        <f>INDEX('eskom production 2009-YTD'!$J$100:$AB$115,MATCH($C9,'eskom production 2009-YTD'!$A$100:$A$115,0),MATCH(V$5,'eskom production 2009-YTD'!$J$65:$AB$65,0))</f>
        <v>0.55810000000000004</v>
      </c>
      <c r="W9" s="51">
        <f>INDEX('eskom production 2009-YTD'!$J$100:$AB$115,MATCH($C9,'eskom production 2009-YTD'!$A$100:$A$115,0),MATCH(W$5,'eskom production 2009-YTD'!$J$65:$AB$65,0))</f>
        <v>0.61240000000000006</v>
      </c>
      <c r="X9" s="51">
        <f>INDEX('eskom production 2009-YTD'!$BC$100:$BN$114,MATCH($A9,'eskom production 2009-YTD'!$A$100:$A$114,0),MATCH(X$5,'eskom production 2009-YTD'!$BC$99:$BN$99,0))</f>
        <v>0.36215200000000008</v>
      </c>
      <c r="Y9" s="51">
        <f>INDEX('eskom production 2009-YTD'!$BC$100:$BN$114,MATCH($A9,'eskom production 2009-YTD'!$A$100:$A$114,0),MATCH(Y$5,'eskom production 2009-YTD'!$BC$99:$BN$99,0))</f>
        <v>0.28377000000000002</v>
      </c>
      <c r="Z9" s="51">
        <f>INDEX('eskom production 2009-YTD'!$BC$100:$BN$114,MATCH($A9,'eskom production 2009-YTD'!$A$100:$A$114,0),MATCH(Z$5,'eskom production 2009-YTD'!$BC$99:$BN$99,0))</f>
        <v>0.24593400000000004</v>
      </c>
      <c r="AA9" s="51">
        <f>INDEX('eskom production 2009-YTD'!$BC$100:$BN$114,MATCH($A9,'eskom production 2009-YTD'!$A$100:$A$114,0),MATCH(AA$5,'eskom production 2009-YTD'!$BC$99:$BN$99,0))</f>
        <v>0.20809800000000003</v>
      </c>
      <c r="AB9" s="51">
        <f>INDEX('eskom production 2009-YTD'!$BC$100:$BN$114,MATCH($A9,'eskom production 2009-YTD'!$A$100:$A$114,0),MATCH(AB$5,'eskom production 2009-YTD'!$BC$99:$BN$99,0))</f>
        <v>0.22070999999999999</v>
      </c>
      <c r="AC9" s="51">
        <f>INDEX('eskom production 2009-YTD'!$BC$100:$BN$114,MATCH($A9,'eskom production 2009-YTD'!$A$100:$A$114,0),MATCH(AC$5,'eskom production 2009-YTD'!$BC$99:$BN$99,0))</f>
        <v>0.20809800000000003</v>
      </c>
      <c r="AD9" s="51"/>
      <c r="AE9" s="51"/>
      <c r="AF9" s="51">
        <f t="shared" ref="AF9:AF22" si="7">R9*0.999</f>
        <v>0.54057628389345658</v>
      </c>
      <c r="AG9" s="51">
        <f t="shared" ref="AG9:AG22" si="8">S9*0.999</f>
        <v>0.54529633286282087</v>
      </c>
      <c r="AH9" s="51">
        <f t="shared" ref="AH9:AH22" si="9">T9*0.99</f>
        <v>0.51775975395919838</v>
      </c>
      <c r="AI9" s="411">
        <v>0.05</v>
      </c>
      <c r="AJ9" s="51"/>
      <c r="AK9" s="37">
        <v>277.77800000000002</v>
      </c>
      <c r="AL9" s="51">
        <v>96.25</v>
      </c>
      <c r="AM9" s="37">
        <v>1E-3</v>
      </c>
      <c r="AN9" s="37">
        <v>1.5E-3</v>
      </c>
      <c r="AO9" s="54">
        <f>HistoricalDispatch!U71</f>
        <v>0.8675671912423536</v>
      </c>
      <c r="AP9" s="54">
        <f>HistoricalDispatch!U72</f>
        <v>0.41576701555456169</v>
      </c>
      <c r="AQ9" s="37">
        <v>0.02</v>
      </c>
      <c r="AR9" s="37">
        <v>5.0000000000000001E-3</v>
      </c>
      <c r="AS9" s="54">
        <f>HistoricalDispatch!$U$73</f>
        <v>4.5769644752755773E-2</v>
      </c>
      <c r="AT9" s="54">
        <f>INDEX('eskom production 2009-YTD'!$J$66:$AB$80,MATCH($C9,'eskom production 2009-YTD'!$A$66:$A$80,0),MATCH(AT$5,'eskom production 2009-YTD'!$J$65:$Q$65,0))/1000</f>
        <v>1.4810000000000001</v>
      </c>
      <c r="AU9" s="54">
        <f>INDEX('eskom production 2009-YTD'!$J$66:$AB$80,MATCH($C9,'eskom production 2009-YTD'!$A$66:$A$80,0),MATCH(AU$5,'eskom production 2009-YTD'!$J$65:$Q$65,0))/1000</f>
        <v>1.4810000000000001</v>
      </c>
      <c r="AV9" s="54">
        <f>DecomSchedule!P4</f>
        <v>1.4810000000000001</v>
      </c>
      <c r="AW9" s="54">
        <f>DecomSchedule!Q4</f>
        <v>1.4810000000000001</v>
      </c>
      <c r="AX9" s="54">
        <f>DecomSchedule!R4</f>
        <v>1.4810000000000001</v>
      </c>
      <c r="AY9" s="54">
        <f>DecomSchedule!S4</f>
        <v>1.4810000000000001</v>
      </c>
      <c r="AZ9" s="54">
        <f>DecomSchedule!T4</f>
        <v>1.0578571428571428</v>
      </c>
      <c r="BA9" s="54">
        <f>DecomSchedule!U4</f>
        <v>0.63471428571428568</v>
      </c>
      <c r="BB9" s="54">
        <f>DecomSchedule!V4</f>
        <v>0</v>
      </c>
      <c r="BC9" s="54">
        <f>DecomSchedule!W4</f>
        <v>0</v>
      </c>
      <c r="BD9" s="54">
        <f>DecomSchedule!X4</f>
        <v>0</v>
      </c>
      <c r="BE9" s="54">
        <f>DecomSchedule!Y4</f>
        <v>0</v>
      </c>
      <c r="BF9" s="54">
        <f>DecomSchedule!Z4</f>
        <v>0</v>
      </c>
      <c r="BG9" s="54">
        <f>DecomSchedule!AA4</f>
        <v>0</v>
      </c>
      <c r="BH9" s="54">
        <f>DecomSchedule!AB4</f>
        <v>0</v>
      </c>
      <c r="BI9" s="54">
        <f>DecomSchedule!AC4</f>
        <v>0</v>
      </c>
      <c r="BJ9" s="54">
        <f>DecomSchedule!AD4</f>
        <v>0</v>
      </c>
      <c r="BK9" s="54">
        <f>DecomSchedule!AE4</f>
        <v>0</v>
      </c>
      <c r="BL9" s="54">
        <f>DecomSchedule!AF4</f>
        <v>0</v>
      </c>
      <c r="BM9" s="54">
        <f>DecomSchedule!AG4</f>
        <v>0</v>
      </c>
      <c r="BN9" s="54">
        <f>DecomSchedule!AH4</f>
        <v>0</v>
      </c>
      <c r="BO9" s="54">
        <f>DecomSchedule!AI4</f>
        <v>0</v>
      </c>
      <c r="BP9" s="54">
        <f>DecomSchedule!AJ4</f>
        <v>0</v>
      </c>
      <c r="BQ9" s="54">
        <f>DecomSchedule!AK4</f>
        <v>0</v>
      </c>
      <c r="BR9" s="54">
        <f>DecomSchedule!AL4</f>
        <v>0</v>
      </c>
      <c r="BS9" s="54">
        <f>DecomSchedule!AM4</f>
        <v>0</v>
      </c>
      <c r="BT9" s="54">
        <f>DecomSchedule!AN4</f>
        <v>0</v>
      </c>
      <c r="BU9" s="54">
        <f>INDEX(DecomSchedule!$AK4:$AT4,1,MATCH(BU$5,DecomSchedule!$AK$3:$AT$3,0))</f>
        <v>0</v>
      </c>
      <c r="BV9" s="54">
        <f>INDEX(DecomSchedule!$AK4:$AT4,1,MATCH(BV$5,DecomSchedule!$AK$3:$AT$3,0))</f>
        <v>0</v>
      </c>
      <c r="BW9" s="54">
        <f>INDEX(DecomSchedule!$AK4:$AT4,1,MATCH(BW$5,DecomSchedule!$AK$3:$AT$3,0))</f>
        <v>0</v>
      </c>
      <c r="BX9" s="54">
        <f>INDEX(DecomSchedule!$AK4:$AT4,1,MATCH(BX$5,DecomSchedule!$AK$3:$AT$3,0))</f>
        <v>0</v>
      </c>
      <c r="BY9" s="54">
        <f>INDEX(DecomSchedule!$AK4:$AT4,1,MATCH(BY$5,DecomSchedule!$AK$3:$AT$3,0))</f>
        <v>0</v>
      </c>
      <c r="BZ9" s="54">
        <f>INDEX(DecomSchedule!$AK4:$AT4,1,MATCH(BZ$5,DecomSchedule!$AK$3:$AT$3,0))</f>
        <v>0</v>
      </c>
      <c r="CA9" s="54">
        <v>0</v>
      </c>
      <c r="CB9" s="54">
        <v>0</v>
      </c>
      <c r="CC9" s="54">
        <v>0</v>
      </c>
    </row>
    <row r="10" spans="1:81" s="37" customFormat="1" ht="11.25" customHeight="1" x14ac:dyDescent="0.2">
      <c r="A10" s="30" t="str">
        <f t="shared" ref="A10:A23" si="10">C10</f>
        <v>GROOTVLEI</v>
      </c>
      <c r="B10" s="30" t="str">
        <f>Processes!B10</f>
        <v>ETCLEGROO-E</v>
      </c>
      <c r="C10" s="30" t="str">
        <f>Processes!C10</f>
        <v>GROOTVLEI</v>
      </c>
      <c r="D10" s="43" t="str">
        <f t="shared" si="6"/>
        <v>PWRCLEGROO</v>
      </c>
      <c r="E10" s="30" t="s">
        <v>129</v>
      </c>
      <c r="F10" s="37" t="str">
        <f t="shared" ref="F10:F26" si="11">D10</f>
        <v>PWRCLEGROO</v>
      </c>
      <c r="G10" s="39"/>
      <c r="H10" s="41">
        <f>INDEX('eskom production 2009-YTD'!$Q$35:$Q$62,MATCH(C10,'eskom production 2009-YTD'!$A$35:$A$62,0))</f>
        <v>0.25956842465744412</v>
      </c>
      <c r="I10" s="39"/>
      <c r="J10" s="39">
        <f>INDEX(ElecBY!$S$82:$S$103,MATCH(B10,ElecBY!$D$82:$D$103,0))</f>
        <v>13.031476138327839</v>
      </c>
      <c r="K10" s="39">
        <f>INDEX(ElecBY!$O$82:$O$103,MATCH(B10,ElecBY!$D$82:$D$103,0))</f>
        <v>543.03708177844862</v>
      </c>
      <c r="L10" s="39">
        <f>INDEX(ElecBY!$K$82:$K$103,MATCH(B10,ElecBY!$D$82:$D$103,0))</f>
        <v>12066.046460195863</v>
      </c>
      <c r="M10" s="49">
        <v>30</v>
      </c>
      <c r="N10" s="30">
        <v>31.536000000000001</v>
      </c>
      <c r="O10" s="30">
        <v>1</v>
      </c>
      <c r="P10" s="37">
        <v>5</v>
      </c>
      <c r="Q10" s="37">
        <v>0</v>
      </c>
      <c r="R10" s="51">
        <f>INDEX('eskom production 2009-YTD'!$J$100:$AB$115,MATCH($C10,'eskom production 2009-YTD'!$A$100:$A$115,0),MATCH(R$5,'eskom production 2009-YTD'!$J$65:$AB$65,0))</f>
        <v>0.36749690039180255</v>
      </c>
      <c r="S10" s="51">
        <f>R10*HistoricalDispatch!$B$5/HistoricalDispatch!$B$4</f>
        <v>0.37070570443597112</v>
      </c>
      <c r="T10" s="51">
        <f>S10*HistoricalDispatch!$B$6/HistoricalDispatch!$B$5</f>
        <v>0.35518553833710637</v>
      </c>
      <c r="U10" s="51">
        <f>INDEX('eskom production 2009-YTD'!$J$100:$AB$115,MATCH($C10,'eskom production 2009-YTD'!$A$100:$A$115,0),MATCH(U$5,'eskom production 2009-YTD'!$J$65:$AB$65,0))</f>
        <v>0.89150000000000007</v>
      </c>
      <c r="V10" s="51">
        <f>INDEX('eskom production 2009-YTD'!$J$100:$AB$115,MATCH($C10,'eskom production 2009-YTD'!$A$100:$A$115,0),MATCH(V$5,'eskom production 2009-YTD'!$J$65:$AB$65,0))</f>
        <v>0.89150000000000007</v>
      </c>
      <c r="W10" s="51">
        <f>INDEX('eskom production 2009-YTD'!$J$100:$AB$115,MATCH($C10,'eskom production 2009-YTD'!$A$100:$A$115,0),MATCH(W$5,'eskom production 2009-YTD'!$J$65:$AB$65,0))</f>
        <v>0.89150000000000007</v>
      </c>
      <c r="X10" s="51"/>
      <c r="Y10" s="51"/>
      <c r="Z10" s="51"/>
      <c r="AA10" s="51"/>
      <c r="AB10" s="51"/>
      <c r="AC10" s="51"/>
      <c r="AD10" s="51"/>
      <c r="AE10" s="51"/>
      <c r="AF10" s="51">
        <f t="shared" si="7"/>
        <v>0.36712940349141077</v>
      </c>
      <c r="AG10" s="51">
        <f t="shared" si="8"/>
        <v>0.37033499873153514</v>
      </c>
      <c r="AH10" s="51">
        <f t="shared" si="9"/>
        <v>0.35163368295373532</v>
      </c>
      <c r="AI10" s="411">
        <v>0.05</v>
      </c>
      <c r="AJ10" s="51"/>
      <c r="AK10" s="37">
        <v>277.77800000000002</v>
      </c>
      <c r="AL10" s="51">
        <f t="shared" ref="AL10:AL22" si="12">AL9</f>
        <v>96.25</v>
      </c>
      <c r="AM10" s="51">
        <f t="shared" ref="AM10:AM22" si="13">AM9</f>
        <v>1E-3</v>
      </c>
      <c r="AN10" s="53">
        <f t="shared" ref="AN10:AN22" si="14">AN9</f>
        <v>1.5E-3</v>
      </c>
      <c r="AO10" s="54">
        <f t="shared" ref="AO10:AO22" si="15">AO9</f>
        <v>0.8675671912423536</v>
      </c>
      <c r="AP10" s="54">
        <f t="shared" ref="AP10:AP22" si="16">AP9</f>
        <v>0.41576701555456169</v>
      </c>
      <c r="AQ10" s="51">
        <f t="shared" ref="AQ10:AQ22" si="17">AQ9</f>
        <v>0.02</v>
      </c>
      <c r="AR10" s="51">
        <f t="shared" ref="AR10:AS22" si="18">AR9</f>
        <v>5.0000000000000001E-3</v>
      </c>
      <c r="AS10" s="51">
        <f t="shared" si="18"/>
        <v>4.5769644752755773E-2</v>
      </c>
      <c r="AT10" s="54">
        <f>INDEX('eskom production 2009-YTD'!$J$66:$AB$80,MATCH($C10,'eskom production 2009-YTD'!$A$66:$A$80,0),MATCH(AT$5,'eskom production 2009-YTD'!$J$65:$Q$65,0))/1000</f>
        <v>1.1200000000000001</v>
      </c>
      <c r="AU10" s="54">
        <f>INDEX('eskom production 2009-YTD'!$J$66:$AB$80,MATCH($C10,'eskom production 2009-YTD'!$A$66:$A$80,0),MATCH(AU$5,'eskom production 2009-YTD'!$J$65:$Q$65,0))/1000</f>
        <v>0.56999999999999995</v>
      </c>
      <c r="AV10" s="54">
        <f>DecomSchedule!P5</f>
        <v>0.56999999999999995</v>
      </c>
      <c r="AW10" s="54">
        <f>DecomSchedule!Q5</f>
        <v>0.56999999999999995</v>
      </c>
      <c r="AX10" s="54">
        <f>DecomSchedule!R5</f>
        <v>0.56999999999999995</v>
      </c>
      <c r="AY10" s="54">
        <f>DecomSchedule!S5</f>
        <v>0.56999999999999995</v>
      </c>
      <c r="AZ10" s="54">
        <f>DecomSchedule!T5</f>
        <v>0.56999999999999995</v>
      </c>
      <c r="BA10" s="54">
        <f>DecomSchedule!U5</f>
        <v>0.56999999999999995</v>
      </c>
      <c r="BB10" s="54">
        <f>DecomSchedule!V5</f>
        <v>0.38</v>
      </c>
      <c r="BC10" s="54">
        <f>DecomSchedule!W5</f>
        <v>0.19000000000000003</v>
      </c>
      <c r="BD10" s="54">
        <f>DecomSchedule!X5</f>
        <v>0</v>
      </c>
      <c r="BE10" s="54">
        <f>DecomSchedule!Y5</f>
        <v>0</v>
      </c>
      <c r="BF10" s="54">
        <f>DecomSchedule!Z5</f>
        <v>0</v>
      </c>
      <c r="BG10" s="54">
        <f>DecomSchedule!AA5</f>
        <v>0</v>
      </c>
      <c r="BH10" s="54">
        <f>DecomSchedule!AB5</f>
        <v>0</v>
      </c>
      <c r="BI10" s="54">
        <f>DecomSchedule!AC5</f>
        <v>0</v>
      </c>
      <c r="BJ10" s="54">
        <f>DecomSchedule!AD5</f>
        <v>0</v>
      </c>
      <c r="BK10" s="54">
        <f>DecomSchedule!AE5</f>
        <v>0</v>
      </c>
      <c r="BL10" s="54">
        <f>DecomSchedule!AF5</f>
        <v>0</v>
      </c>
      <c r="BM10" s="54">
        <f>DecomSchedule!AG5</f>
        <v>0</v>
      </c>
      <c r="BN10" s="54">
        <f>DecomSchedule!AH5</f>
        <v>0</v>
      </c>
      <c r="BO10" s="54">
        <f>DecomSchedule!AI5</f>
        <v>0</v>
      </c>
      <c r="BP10" s="54">
        <f>DecomSchedule!AJ5</f>
        <v>0</v>
      </c>
      <c r="BQ10" s="54">
        <f>DecomSchedule!AK5</f>
        <v>0</v>
      </c>
      <c r="BR10" s="54">
        <f>DecomSchedule!AL5</f>
        <v>0</v>
      </c>
      <c r="BS10" s="54">
        <f>DecomSchedule!AM5</f>
        <v>0</v>
      </c>
      <c r="BT10" s="54">
        <f>DecomSchedule!AN5</f>
        <v>0</v>
      </c>
      <c r="BU10" s="54">
        <f>INDEX(DecomSchedule!$AK5:$AT5,1,MATCH(BU$5,DecomSchedule!$AK$3:$AT$3,0))</f>
        <v>0</v>
      </c>
      <c r="BV10" s="54">
        <f>INDEX(DecomSchedule!$AK5:$AT5,1,MATCH(BV$5,DecomSchedule!$AK$3:$AT$3,0))</f>
        <v>0</v>
      </c>
      <c r="BW10" s="54">
        <f>INDEX(DecomSchedule!$AK5:$AT5,1,MATCH(BW$5,DecomSchedule!$AK$3:$AT$3,0))</f>
        <v>0</v>
      </c>
      <c r="BX10" s="54">
        <f>INDEX(DecomSchedule!$AK5:$AT5,1,MATCH(BX$5,DecomSchedule!$AK$3:$AT$3,0))</f>
        <v>0</v>
      </c>
      <c r="BY10" s="54">
        <f>INDEX(DecomSchedule!$AK5:$AT5,1,MATCH(BY$5,DecomSchedule!$AK$3:$AT$3,0))</f>
        <v>0</v>
      </c>
      <c r="BZ10" s="54">
        <f>INDEX(DecomSchedule!$AK5:$AT5,1,MATCH(BZ$5,DecomSchedule!$AK$3:$AT$3,0))</f>
        <v>0</v>
      </c>
      <c r="CA10" s="54">
        <v>0</v>
      </c>
      <c r="CB10" s="54">
        <v>0</v>
      </c>
      <c r="CC10" s="54">
        <v>0</v>
      </c>
    </row>
    <row r="11" spans="1:81" s="37" customFormat="1" ht="11.25" customHeight="1" x14ac:dyDescent="0.2">
      <c r="A11" s="30" t="str">
        <f t="shared" si="10"/>
        <v>KOMATI</v>
      </c>
      <c r="B11" s="30" t="str">
        <f>Processes!B11</f>
        <v>ETCLEKOMA-E</v>
      </c>
      <c r="C11" s="30" t="str">
        <f>Processes!C11</f>
        <v>KOMATI</v>
      </c>
      <c r="D11" s="43" t="str">
        <f t="shared" si="6"/>
        <v>PWRCLEKOMA</v>
      </c>
      <c r="E11" s="30" t="s">
        <v>129</v>
      </c>
      <c r="F11" s="37" t="str">
        <f t="shared" si="11"/>
        <v>PWRCLEKOMA</v>
      </c>
      <c r="G11" s="39"/>
      <c r="H11" s="41">
        <f>INDEX('eskom production 2009-YTD'!$Q$35:$Q$62,MATCH(C11,'eskom production 2009-YTD'!$A$35:$A$62,0))</f>
        <v>0.24202040664976729</v>
      </c>
      <c r="I11" s="39"/>
      <c r="J11" s="39">
        <f>INDEX(ElecBY!$S$82:$S$103,MATCH(B11,ElecBY!$D$82:$D$103,0))</f>
        <v>13.031476138327839</v>
      </c>
      <c r="K11" s="39">
        <f>INDEX(ElecBY!$O$82:$O$103,MATCH(B11,ElecBY!$D$82:$D$103,0))</f>
        <v>543.03708177844862</v>
      </c>
      <c r="L11" s="39">
        <f>INDEX(ElecBY!$K$82:$K$103,MATCH(B11,ElecBY!$D$82:$D$103,0))</f>
        <v>12066.046460195863</v>
      </c>
      <c r="M11" s="49">
        <v>30</v>
      </c>
      <c r="N11" s="30">
        <v>31.536000000000001</v>
      </c>
      <c r="O11" s="30">
        <v>1</v>
      </c>
      <c r="P11" s="37">
        <v>5</v>
      </c>
      <c r="Q11" s="37">
        <v>0</v>
      </c>
      <c r="R11" s="51">
        <f>INDEX('eskom production 2009-YTD'!$J$100:$AB$115,MATCH($C11,'eskom production 2009-YTD'!$A$100:$A$115,0),MATCH(R$5,'eskom production 2009-YTD'!$J$65:$AB$65,0))</f>
        <v>0.33923410885870708</v>
      </c>
      <c r="S11" s="51">
        <f>R11*HistoricalDispatch!$B$5/HistoricalDispatch!$B$4</f>
        <v>0.34219613596496345</v>
      </c>
      <c r="T11" s="51">
        <f>S11*HistoricalDispatch!$B$6/HistoricalDispatch!$B$5</f>
        <v>0.32786956692377073</v>
      </c>
      <c r="U11" s="51">
        <f>INDEX('eskom production 2009-YTD'!$J$100:$AB$115,MATCH($C11,'eskom production 2009-YTD'!$A$100:$A$115,0),MATCH(U$5,'eskom production 2009-YTD'!$J$65:$AB$65,0))</f>
        <v>0.87390000000000001</v>
      </c>
      <c r="V11" s="51">
        <f>INDEX('eskom production 2009-YTD'!$J$100:$AB$115,MATCH($C11,'eskom production 2009-YTD'!$A$100:$A$115,0),MATCH(V$5,'eskom production 2009-YTD'!$J$65:$AB$65,0))</f>
        <v>0.87390000000000001</v>
      </c>
      <c r="W11" s="51">
        <f>INDEX('eskom production 2009-YTD'!$J$100:$AB$115,MATCH($C11,'eskom production 2009-YTD'!$A$100:$A$115,0),MATCH(W$5,'eskom production 2009-YTD'!$J$65:$AB$65,0))</f>
        <v>0.87390000000000001</v>
      </c>
      <c r="X11" s="51"/>
      <c r="Y11" s="51"/>
      <c r="Z11" s="51"/>
      <c r="AA11" s="51"/>
      <c r="AB11" s="51"/>
      <c r="AC11" s="51"/>
      <c r="AD11" s="51"/>
      <c r="AE11" s="51"/>
      <c r="AF11" s="51">
        <f t="shared" si="7"/>
        <v>0.33889487474984836</v>
      </c>
      <c r="AG11" s="51">
        <f t="shared" si="8"/>
        <v>0.34185393982899848</v>
      </c>
      <c r="AH11" s="51">
        <f t="shared" si="9"/>
        <v>0.32459087125453301</v>
      </c>
      <c r="AI11" s="411">
        <v>0.05</v>
      </c>
      <c r="AJ11" s="51"/>
      <c r="AK11" s="37">
        <v>277.77800000000002</v>
      </c>
      <c r="AL11" s="51">
        <f t="shared" si="12"/>
        <v>96.25</v>
      </c>
      <c r="AM11" s="51">
        <f t="shared" si="13"/>
        <v>1E-3</v>
      </c>
      <c r="AN11" s="53">
        <f t="shared" si="14"/>
        <v>1.5E-3</v>
      </c>
      <c r="AO11" s="54">
        <f t="shared" si="15"/>
        <v>0.8675671912423536</v>
      </c>
      <c r="AP11" s="54">
        <f t="shared" si="16"/>
        <v>0.41576701555456169</v>
      </c>
      <c r="AQ11" s="51">
        <f t="shared" si="17"/>
        <v>0.02</v>
      </c>
      <c r="AR11" s="51">
        <f t="shared" si="18"/>
        <v>5.0000000000000001E-3</v>
      </c>
      <c r="AS11" s="51">
        <f t="shared" si="18"/>
        <v>4.5769644752755773E-2</v>
      </c>
      <c r="AT11" s="54">
        <f>INDEX('eskom production 2009-YTD'!$J$66:$AB$80,MATCH($C11,'eskom production 2009-YTD'!$A$66:$A$80,0),MATCH(AT$5,'eskom production 2009-YTD'!$J$65:$Q$65,0))/1000</f>
        <v>0.90400000000000003</v>
      </c>
      <c r="AU11" s="54">
        <f>INDEX('eskom production 2009-YTD'!$J$66:$AB$80,MATCH($C11,'eskom production 2009-YTD'!$A$66:$A$80,0),MATCH(AU$5,'eskom production 2009-YTD'!$J$65:$Q$65,0))/1000</f>
        <v>0.41</v>
      </c>
      <c r="AV11" s="54">
        <f>DecomSchedule!P6</f>
        <v>0.20499999999999999</v>
      </c>
      <c r="AW11" s="54">
        <f>DecomSchedule!Q6</f>
        <v>0.10249999999999999</v>
      </c>
      <c r="AX11" s="54">
        <f>DecomSchedule!R6</f>
        <v>0</v>
      </c>
      <c r="AY11" s="54">
        <f>DecomSchedule!S6</f>
        <v>0</v>
      </c>
      <c r="AZ11" s="54">
        <f>DecomSchedule!T6</f>
        <v>0</v>
      </c>
      <c r="BA11" s="54">
        <f>DecomSchedule!U6</f>
        <v>0</v>
      </c>
      <c r="BB11" s="54">
        <f>DecomSchedule!V6</f>
        <v>0</v>
      </c>
      <c r="BC11" s="54">
        <f>DecomSchedule!W6</f>
        <v>0</v>
      </c>
      <c r="BD11" s="54">
        <f>DecomSchedule!X6</f>
        <v>0</v>
      </c>
      <c r="BE11" s="54">
        <f>DecomSchedule!Y6</f>
        <v>0</v>
      </c>
      <c r="BF11" s="54">
        <f>DecomSchedule!Z6</f>
        <v>0</v>
      </c>
      <c r="BG11" s="54">
        <f>DecomSchedule!AA6</f>
        <v>0</v>
      </c>
      <c r="BH11" s="54">
        <f>DecomSchedule!AB6</f>
        <v>0</v>
      </c>
      <c r="BI11" s="54">
        <f>DecomSchedule!AC6</f>
        <v>0</v>
      </c>
      <c r="BJ11" s="54">
        <f>DecomSchedule!AD6</f>
        <v>0</v>
      </c>
      <c r="BK11" s="54">
        <f>DecomSchedule!AE6</f>
        <v>0</v>
      </c>
      <c r="BL11" s="54">
        <f>DecomSchedule!AF6</f>
        <v>0</v>
      </c>
      <c r="BM11" s="54">
        <f>DecomSchedule!AG6</f>
        <v>0</v>
      </c>
      <c r="BN11" s="54">
        <f>DecomSchedule!AH6</f>
        <v>0</v>
      </c>
      <c r="BO11" s="54">
        <f>DecomSchedule!AI6</f>
        <v>0</v>
      </c>
      <c r="BP11" s="54">
        <f>DecomSchedule!AJ6</f>
        <v>0</v>
      </c>
      <c r="BQ11" s="54">
        <f>DecomSchedule!AK6</f>
        <v>0</v>
      </c>
      <c r="BR11" s="54">
        <f>DecomSchedule!AL6</f>
        <v>0</v>
      </c>
      <c r="BS11" s="54">
        <f>DecomSchedule!AM6</f>
        <v>0</v>
      </c>
      <c r="BT11" s="54">
        <f>DecomSchedule!AN6</f>
        <v>0</v>
      </c>
      <c r="BU11" s="54">
        <f>INDEX(DecomSchedule!$AK6:$AT6,1,MATCH(BU$5,DecomSchedule!$AK$3:$AT$3,0))</f>
        <v>0</v>
      </c>
      <c r="BV11" s="54">
        <f>INDEX(DecomSchedule!$AK6:$AT6,1,MATCH(BV$5,DecomSchedule!$AK$3:$AT$3,0))</f>
        <v>0</v>
      </c>
      <c r="BW11" s="54">
        <f>INDEX(DecomSchedule!$AK6:$AT6,1,MATCH(BW$5,DecomSchedule!$AK$3:$AT$3,0))</f>
        <v>0</v>
      </c>
      <c r="BX11" s="54">
        <f>INDEX(DecomSchedule!$AK6:$AT6,1,MATCH(BX$5,DecomSchedule!$AK$3:$AT$3,0))</f>
        <v>0</v>
      </c>
      <c r="BY11" s="54">
        <f>INDEX(DecomSchedule!$AK6:$AT6,1,MATCH(BY$5,DecomSchedule!$AK$3:$AT$3,0))</f>
        <v>0</v>
      </c>
      <c r="BZ11" s="54">
        <f>INDEX(DecomSchedule!$AK6:$AT6,1,MATCH(BZ$5,DecomSchedule!$AK$3:$AT$3,0))</f>
        <v>0</v>
      </c>
      <c r="CA11" s="54">
        <v>0</v>
      </c>
      <c r="CB11" s="54">
        <v>0</v>
      </c>
      <c r="CC11" s="54">
        <v>0</v>
      </c>
    </row>
    <row r="12" spans="1:81" ht="11.25" customHeight="1" x14ac:dyDescent="0.2">
      <c r="A12" s="30" t="str">
        <f t="shared" si="10"/>
        <v>ARNOT</v>
      </c>
      <c r="B12" s="30" t="str">
        <f>Processes!B12</f>
        <v>ETCLEARNO-E</v>
      </c>
      <c r="C12" s="30" t="str">
        <f>Processes!C12</f>
        <v>ARNOT</v>
      </c>
      <c r="D12" s="43" t="str">
        <f t="shared" si="6"/>
        <v>PWRCLEARNO</v>
      </c>
      <c r="E12" s="30" t="s">
        <v>129</v>
      </c>
      <c r="F12" s="37" t="str">
        <f t="shared" si="11"/>
        <v>PWRCLEARNO</v>
      </c>
      <c r="G12" s="39"/>
      <c r="H12" s="41">
        <f>INDEX('eskom production 2009-YTD'!$Q$35:$Q$62,MATCH(C12,'eskom production 2009-YTD'!$A$35:$A$62,0))</f>
        <v>0.31</v>
      </c>
      <c r="I12" s="39"/>
      <c r="J12" s="39">
        <f>INDEX(ElecBY!$S$82:$S$103,MATCH(B12,ElecBY!$D$82:$D$103,0))</f>
        <v>13.031476138327839</v>
      </c>
      <c r="K12" s="39">
        <f>INDEX(ElecBY!$O$82:$O$103,MATCH(B12,ElecBY!$D$82:$D$103,0))</f>
        <v>543.03708177844862</v>
      </c>
      <c r="L12" s="39">
        <f>INDEX(ElecBY!$K$82:$K$103,MATCH(B12,ElecBY!$D$82:$D$103,0))</f>
        <v>12066.046460195861</v>
      </c>
      <c r="M12" s="49">
        <v>30</v>
      </c>
      <c r="N12" s="30">
        <v>31.536000000000001</v>
      </c>
      <c r="O12" s="30">
        <v>1</v>
      </c>
      <c r="P12" s="37">
        <v>5</v>
      </c>
      <c r="Q12" s="37">
        <v>0</v>
      </c>
      <c r="R12" s="51">
        <f>INDEX('eskom production 2009-YTD'!$J$100:$AB$115,MATCH($C12,'eskom production 2009-YTD'!$A$100:$A$115,0),MATCH(R$5,'eskom production 2009-YTD'!$J$65:$AB$65,0))</f>
        <v>0.52901509650216993</v>
      </c>
      <c r="S12" s="51">
        <f>R12*HistoricalDispatch!$B$5/HistoricalDispatch!$B$4</f>
        <v>0.53363419881098562</v>
      </c>
      <c r="T12" s="51">
        <f>S12*HistoricalDispatch!$B$6/HistoricalDispatch!$B$5</f>
        <v>0.51129277999148759</v>
      </c>
      <c r="U12" s="51">
        <f>INDEX('eskom production 2009-YTD'!$J$100:$AB$115,MATCH($C12,'eskom production 2009-YTD'!$A$100:$A$115,0),MATCH(U$5,'eskom production 2009-YTD'!$J$65:$AB$65,0))</f>
        <v>0.65060000000000007</v>
      </c>
      <c r="V12" s="51">
        <f>INDEX('eskom production 2009-YTD'!$J$100:$AB$115,MATCH($C12,'eskom production 2009-YTD'!$A$100:$A$115,0),MATCH(V$5,'eskom production 2009-YTD'!$J$65:$AB$65,0))</f>
        <v>0.62439999999999996</v>
      </c>
      <c r="W12" s="51">
        <f>INDEX('eskom production 2009-YTD'!$J$100:$AB$115,MATCH($C12,'eskom production 2009-YTD'!$A$100:$A$115,0),MATCH(W$5,'eskom production 2009-YTD'!$J$65:$AB$65,0))</f>
        <v>0.65359999999999996</v>
      </c>
      <c r="X12" s="51">
        <f>INDEX('eskom production 2009-YTD'!$BC$100:$BN$114,MATCH($A12,'eskom production 2009-YTD'!$A$100:$A$114,0),MATCH(X$5,'eskom production 2009-YTD'!$BC$99:$BN$99,0))</f>
        <v>0.34871200000000008</v>
      </c>
      <c r="Y12" s="51">
        <f>INDEX('eskom production 2009-YTD'!$BC$100:$BN$114,MATCH($A12,'eskom production 2009-YTD'!$A$100:$A$114,0),MATCH(Y$5,'eskom production 2009-YTD'!$BC$99:$BN$99,0))</f>
        <v>0.28269</v>
      </c>
      <c r="Z12" s="51">
        <f>INDEX('eskom production 2009-YTD'!$BC$100:$BN$114,MATCH($A12,'eskom production 2009-YTD'!$A$100:$A$114,0),MATCH(Z$5,'eskom production 2009-YTD'!$BC$99:$BN$99,0))</f>
        <v>0.25537200000000004</v>
      </c>
      <c r="AA12" s="51">
        <f>INDEX('eskom production 2009-YTD'!$BC$100:$BN$114,MATCH($A12,'eskom production 2009-YTD'!$A$100:$A$114,0),MATCH(AA$5,'eskom production 2009-YTD'!$BC$99:$BN$99,0))</f>
        <v>0.22892100000000004</v>
      </c>
      <c r="AB12" s="51">
        <f>INDEX('eskom production 2009-YTD'!$BC$100:$BN$114,MATCH($A12,'eskom production 2009-YTD'!$A$100:$A$114,0),MATCH(AB$5,'eskom production 2009-YTD'!$BC$99:$BN$99,0))</f>
        <v>0.23596999999999999</v>
      </c>
      <c r="AC12" s="51">
        <f>INDEX('eskom production 2009-YTD'!$BC$100:$BN$114,MATCH($A12,'eskom production 2009-YTD'!$A$100:$A$114,0),MATCH(AC$5,'eskom production 2009-YTD'!$BC$99:$BN$99,0))</f>
        <v>0.20064000000000001</v>
      </c>
      <c r="AD12" s="51">
        <f>INDEX('eskom production 2009-YTD'!$BC$100:$BN$114,MATCH($A12,'eskom production 2009-YTD'!$A$100:$A$114,0),MATCH(AD$5,'eskom production 2009-YTD'!$BC$99:$BN$99,0))</f>
        <v>0.17452799999999999</v>
      </c>
      <c r="AE12" s="51">
        <f>INDEX('eskom production 2009-YTD'!$BC$100:$BN$114,MATCH($A12,'eskom production 2009-YTD'!$A$100:$A$114,0),MATCH(AE$5,'eskom production 2009-YTD'!$BC$99:$BN$99,0))</f>
        <v>0.13644999999999999</v>
      </c>
      <c r="AF12" s="51">
        <f t="shared" si="7"/>
        <v>0.52848608140566777</v>
      </c>
      <c r="AG12" s="51">
        <f t="shared" si="8"/>
        <v>0.53310056461217459</v>
      </c>
      <c r="AH12" s="51">
        <f t="shared" si="9"/>
        <v>0.50617985219157269</v>
      </c>
      <c r="AI12" s="411">
        <v>0.05</v>
      </c>
      <c r="AJ12" s="51"/>
      <c r="AK12" s="37">
        <v>277.77800000000002</v>
      </c>
      <c r="AL12" s="51">
        <f t="shared" si="12"/>
        <v>96.25</v>
      </c>
      <c r="AM12" s="51">
        <f t="shared" si="13"/>
        <v>1E-3</v>
      </c>
      <c r="AN12" s="53">
        <f t="shared" si="14"/>
        <v>1.5E-3</v>
      </c>
      <c r="AO12" s="54">
        <f t="shared" si="15"/>
        <v>0.8675671912423536</v>
      </c>
      <c r="AP12" s="54">
        <f t="shared" si="16"/>
        <v>0.41576701555456169</v>
      </c>
      <c r="AQ12" s="51">
        <f t="shared" si="17"/>
        <v>0.02</v>
      </c>
      <c r="AR12" s="51">
        <f t="shared" si="18"/>
        <v>5.0000000000000001E-3</v>
      </c>
      <c r="AS12" s="51">
        <f t="shared" si="18"/>
        <v>4.5769644752755773E-2</v>
      </c>
      <c r="AT12" s="54">
        <f>INDEX('eskom production 2009-YTD'!$J$66:$AB$80,MATCH($C12,'eskom production 2009-YTD'!$A$66:$A$80,0),MATCH(AT$5,'eskom production 2009-YTD'!$J$65:$Q$65,0))/1000</f>
        <v>2.2320000000000002</v>
      </c>
      <c r="AU12" s="54">
        <f>INDEX('eskom production 2009-YTD'!$J$66:$AB$80,MATCH($C12,'eskom production 2009-YTD'!$A$66:$A$80,0),MATCH(AU$5,'eskom production 2009-YTD'!$J$65:$Q$65,0))/1000</f>
        <v>2.2320000000000002</v>
      </c>
      <c r="AV12" s="54">
        <f>DecomSchedule!P7</f>
        <v>2.2320000000000002</v>
      </c>
      <c r="AW12" s="54">
        <f>DecomSchedule!Q7</f>
        <v>2.2320000000000002</v>
      </c>
      <c r="AX12" s="54">
        <f>DecomSchedule!R7</f>
        <v>2.2320000000000002</v>
      </c>
      <c r="AY12" s="54">
        <f>DecomSchedule!S7</f>
        <v>2.2320000000000002</v>
      </c>
      <c r="AZ12" s="54">
        <f>DecomSchedule!T7</f>
        <v>2.2320000000000002</v>
      </c>
      <c r="BA12" s="54">
        <f>DecomSchedule!U7</f>
        <v>2.2320000000000002</v>
      </c>
      <c r="BB12" s="54">
        <f>DecomSchedule!V7</f>
        <v>1.488</v>
      </c>
      <c r="BC12" s="54">
        <f>DecomSchedule!W7</f>
        <v>0.74399999999999988</v>
      </c>
      <c r="BD12" s="54">
        <f>DecomSchedule!X7</f>
        <v>0.74399999999999988</v>
      </c>
      <c r="BE12" s="54">
        <f>DecomSchedule!Y7</f>
        <v>0</v>
      </c>
      <c r="BF12" s="54">
        <f>DecomSchedule!Z7</f>
        <v>0</v>
      </c>
      <c r="BG12" s="54">
        <f>DecomSchedule!AA7</f>
        <v>0</v>
      </c>
      <c r="BH12" s="54">
        <f>DecomSchedule!AB7</f>
        <v>0</v>
      </c>
      <c r="BI12" s="54">
        <f>DecomSchedule!AC7</f>
        <v>0</v>
      </c>
      <c r="BJ12" s="54">
        <f>DecomSchedule!AD7</f>
        <v>0</v>
      </c>
      <c r="BK12" s="54">
        <f>DecomSchedule!AE7</f>
        <v>0</v>
      </c>
      <c r="BL12" s="54">
        <f>DecomSchedule!AF7</f>
        <v>0</v>
      </c>
      <c r="BM12" s="54">
        <f>DecomSchedule!AG7</f>
        <v>0</v>
      </c>
      <c r="BN12" s="54">
        <f>DecomSchedule!AH7</f>
        <v>0</v>
      </c>
      <c r="BO12" s="54">
        <f>DecomSchedule!AI7</f>
        <v>0</v>
      </c>
      <c r="BP12" s="54">
        <f>DecomSchedule!AJ7</f>
        <v>0</v>
      </c>
      <c r="BQ12" s="54">
        <f>DecomSchedule!AK7</f>
        <v>0</v>
      </c>
      <c r="BR12" s="54">
        <f>DecomSchedule!AL7</f>
        <v>0</v>
      </c>
      <c r="BS12" s="54">
        <f>DecomSchedule!AM7</f>
        <v>0</v>
      </c>
      <c r="BT12" s="54">
        <f>DecomSchedule!AN7</f>
        <v>0</v>
      </c>
      <c r="BU12" s="54">
        <f>INDEX(DecomSchedule!$AK7:$AT7,1,MATCH(BU$5,DecomSchedule!$AK$3:$AT$3,0))</f>
        <v>0</v>
      </c>
      <c r="BV12" s="54">
        <f>INDEX(DecomSchedule!$AK7:$AT7,1,MATCH(BV$5,DecomSchedule!$AK$3:$AT$3,0))</f>
        <v>0</v>
      </c>
      <c r="BW12" s="54">
        <f>INDEX(DecomSchedule!$AK7:$AT7,1,MATCH(BW$5,DecomSchedule!$AK$3:$AT$3,0))</f>
        <v>0</v>
      </c>
      <c r="BX12" s="54">
        <f>INDEX(DecomSchedule!$AK7:$AT7,1,MATCH(BX$5,DecomSchedule!$AK$3:$AT$3,0))</f>
        <v>0</v>
      </c>
      <c r="BY12" s="54">
        <f>INDEX(DecomSchedule!$AK7:$AT7,1,MATCH(BY$5,DecomSchedule!$AK$3:$AT$3,0))</f>
        <v>0</v>
      </c>
      <c r="BZ12" s="54">
        <f>INDEX(DecomSchedule!$AK7:$AT7,1,MATCH(BZ$5,DecomSchedule!$AK$3:$AT$3,0))</f>
        <v>0</v>
      </c>
      <c r="CA12" s="54">
        <v>0</v>
      </c>
      <c r="CB12" s="54">
        <v>0</v>
      </c>
      <c r="CC12" s="54">
        <v>0</v>
      </c>
    </row>
    <row r="13" spans="1:81" ht="11.25" customHeight="1" x14ac:dyDescent="0.2">
      <c r="A13" s="30" t="str">
        <f t="shared" si="10"/>
        <v>DUVHA</v>
      </c>
      <c r="B13" s="30" t="str">
        <f>Processes!B13</f>
        <v>ETCLEDUVH-E</v>
      </c>
      <c r="C13" s="30" t="str">
        <f>Processes!C13</f>
        <v>DUVHA</v>
      </c>
      <c r="D13" s="43" t="str">
        <f t="shared" si="6"/>
        <v>PWRCLEDUVH</v>
      </c>
      <c r="E13" s="30" t="s">
        <v>129</v>
      </c>
      <c r="F13" s="37" t="str">
        <f t="shared" si="11"/>
        <v>PWRCLEDUVH</v>
      </c>
      <c r="G13" s="39"/>
      <c r="H13" s="41">
        <f>INDEX('eskom production 2009-YTD'!$Q$35:$Q$62,MATCH(C13,'eskom production 2009-YTD'!$A$35:$A$62,0))</f>
        <v>0.33058235797930735</v>
      </c>
      <c r="I13" s="39"/>
      <c r="J13" s="39">
        <f>INDEX(ElecBY!$S$82:$S$103,MATCH(B13,ElecBY!$D$82:$D$103,0))</f>
        <v>13.031476138327839</v>
      </c>
      <c r="K13" s="39">
        <f>INDEX(ElecBY!$O$82:$O$103,MATCH(B13,ElecBY!$D$82:$D$103,0))</f>
        <v>543.03708177844862</v>
      </c>
      <c r="L13" s="39">
        <f>INDEX(ElecBY!$K$82:$K$103,MATCH(B13,ElecBY!$D$82:$D$103,0))</f>
        <v>12066.046460195863</v>
      </c>
      <c r="M13" s="49">
        <v>30</v>
      </c>
      <c r="N13" s="30">
        <v>31.536000000000001</v>
      </c>
      <c r="O13" s="30">
        <v>1</v>
      </c>
      <c r="P13" s="37">
        <v>5</v>
      </c>
      <c r="Q13" s="37">
        <v>0</v>
      </c>
      <c r="R13" s="51">
        <f>INDEX('eskom production 2009-YTD'!$J$100:$AB$115,MATCH($C13,'eskom production 2009-YTD'!$A$100:$A$115,0),MATCH(R$5,'eskom production 2009-YTD'!$J$65:$AB$65,0))</f>
        <v>0.5492283190063032</v>
      </c>
      <c r="S13" s="51">
        <f>R13*HistoricalDispatch!$B$5/HistoricalDispatch!$B$4</f>
        <v>0.55402391333463741</v>
      </c>
      <c r="T13" s="51">
        <f>S13*HistoricalDispatch!$B$6/HistoricalDispatch!$B$5</f>
        <v>0.53082884766717142</v>
      </c>
      <c r="U13" s="51">
        <f>INDEX('eskom production 2009-YTD'!$J$100:$AB$115,MATCH($C13,'eskom production 2009-YTD'!$A$100:$A$115,0),MATCH(U$5,'eskom production 2009-YTD'!$J$65:$AB$65,0))</f>
        <v>0.54479999999999995</v>
      </c>
      <c r="V13" s="51">
        <f>INDEX('eskom production 2009-YTD'!$J$100:$AB$115,MATCH($C13,'eskom production 2009-YTD'!$A$100:$A$115,0),MATCH(V$5,'eskom production 2009-YTD'!$J$65:$AB$65,0))</f>
        <v>0.49670000000000003</v>
      </c>
      <c r="W13" s="51">
        <f>INDEX('eskom production 2009-YTD'!$J$100:$AB$115,MATCH($C13,'eskom production 2009-YTD'!$A$100:$A$115,0),MATCH(W$5,'eskom production 2009-YTD'!$J$65:$AB$65,0))</f>
        <v>0.60159999999999991</v>
      </c>
      <c r="X13" s="51">
        <f>INDEX('eskom production 2009-YTD'!$BC$100:$BN$114,MATCH($A13,'eskom production 2009-YTD'!$A$100:$A$114,0),MATCH(X$5,'eskom production 2009-YTD'!$BC$99:$BN$99,0))</f>
        <v>0.31875200000000004</v>
      </c>
      <c r="Y13" s="51">
        <f>INDEX('eskom production 2009-YTD'!$BC$100:$BN$114,MATCH($A13,'eskom production 2009-YTD'!$A$100:$A$114,0),MATCH(Y$5,'eskom production 2009-YTD'!$BC$99:$BN$99,0))</f>
        <v>0.28269</v>
      </c>
      <c r="Z13" s="51">
        <f>INDEX('eskom production 2009-YTD'!$BC$100:$BN$114,MATCH($A13,'eskom production 2009-YTD'!$A$100:$A$114,0),MATCH(Z$5,'eskom production 2009-YTD'!$BC$99:$BN$99,0))</f>
        <v>0.238368</v>
      </c>
      <c r="AA13" s="51">
        <f>INDEX('eskom production 2009-YTD'!$BC$100:$BN$114,MATCH($A13,'eskom production 2009-YTD'!$A$100:$A$114,0),MATCH(AA$5,'eskom production 2009-YTD'!$BC$99:$BN$99,0))</f>
        <v>0.22182600000000002</v>
      </c>
      <c r="AB13" s="51">
        <f>INDEX('eskom production 2009-YTD'!$BC$100:$BN$114,MATCH($A13,'eskom production 2009-YTD'!$A$100:$A$114,0),MATCH(AB$5,'eskom production 2009-YTD'!$BC$99:$BN$99,0))</f>
        <v>0.22277499999999997</v>
      </c>
      <c r="AC13" s="51">
        <f>INDEX('eskom production 2009-YTD'!$BC$100:$BN$114,MATCH($A13,'eskom production 2009-YTD'!$A$100:$A$114,0),MATCH(AC$5,'eskom production 2009-YTD'!$BC$99:$BN$99,0))</f>
        <v>0.19615199999999999</v>
      </c>
      <c r="AD13" s="51">
        <f>INDEX('eskom production 2009-YTD'!$BC$100:$BN$114,MATCH($A13,'eskom production 2009-YTD'!$A$100:$A$114,0),MATCH(AD$5,'eskom production 2009-YTD'!$BC$99:$BN$99,0))</f>
        <v>0.194912</v>
      </c>
      <c r="AE13" s="51">
        <f>INDEX('eskom production 2009-YTD'!$BC$100:$BN$114,MATCH($A13,'eskom production 2009-YTD'!$A$100:$A$114,0),MATCH(AE$5,'eskom production 2009-YTD'!$BC$99:$BN$99,0))</f>
        <v>0.15052499999999999</v>
      </c>
      <c r="AF13" s="51">
        <f t="shared" si="7"/>
        <v>0.54867909068729692</v>
      </c>
      <c r="AG13" s="51">
        <f t="shared" si="8"/>
        <v>0.55346988942130282</v>
      </c>
      <c r="AH13" s="51">
        <f t="shared" si="9"/>
        <v>0.52552055919049967</v>
      </c>
      <c r="AI13" s="411">
        <v>0.05</v>
      </c>
      <c r="AJ13" s="51"/>
      <c r="AK13" s="37">
        <v>277.77800000000002</v>
      </c>
      <c r="AL13" s="51">
        <f t="shared" si="12"/>
        <v>96.25</v>
      </c>
      <c r="AM13" s="51">
        <f t="shared" si="13"/>
        <v>1E-3</v>
      </c>
      <c r="AN13" s="53">
        <f t="shared" si="14"/>
        <v>1.5E-3</v>
      </c>
      <c r="AO13" s="54">
        <f t="shared" si="15"/>
        <v>0.8675671912423536</v>
      </c>
      <c r="AP13" s="54">
        <f t="shared" si="16"/>
        <v>0.41576701555456169</v>
      </c>
      <c r="AQ13" s="51">
        <f t="shared" si="17"/>
        <v>0.02</v>
      </c>
      <c r="AR13" s="51">
        <f t="shared" si="18"/>
        <v>5.0000000000000001E-3</v>
      </c>
      <c r="AS13" s="51">
        <f t="shared" si="18"/>
        <v>4.5769644752755773E-2</v>
      </c>
      <c r="AT13" s="54">
        <f>INDEX('eskom production 2009-YTD'!$J$66:$AB$80,MATCH($C13,'eskom production 2009-YTD'!$A$66:$A$80,0),MATCH(AT$5,'eskom production 2009-YTD'!$J$65:$Q$65,0))/1000</f>
        <v>2.875</v>
      </c>
      <c r="AU13" s="54">
        <f>INDEX('eskom production 2009-YTD'!$J$66:$AB$80,MATCH($C13,'eskom production 2009-YTD'!$A$66:$A$80,0),MATCH(AU$5,'eskom production 2009-YTD'!$J$65:$Q$65,0))/1000</f>
        <v>2.875</v>
      </c>
      <c r="AV13" s="54">
        <f>DecomSchedule!P8</f>
        <v>2.875</v>
      </c>
      <c r="AW13" s="54">
        <f>DecomSchedule!Q8</f>
        <v>2.875</v>
      </c>
      <c r="AX13" s="54">
        <f>DecomSchedule!R8</f>
        <v>2.875</v>
      </c>
      <c r="AY13" s="54">
        <f>DecomSchedule!S8</f>
        <v>2.875</v>
      </c>
      <c r="AZ13" s="54">
        <f>DecomSchedule!T8</f>
        <v>2.875</v>
      </c>
      <c r="BA13" s="54">
        <f>DecomSchedule!U8</f>
        <v>2.875</v>
      </c>
      <c r="BB13" s="54">
        <f>DecomSchedule!V8</f>
        <v>2.875</v>
      </c>
      <c r="BC13" s="54">
        <f>DecomSchedule!W8</f>
        <v>2.875</v>
      </c>
      <c r="BD13" s="54">
        <f>DecomSchedule!X8</f>
        <v>2.875</v>
      </c>
      <c r="BE13" s="54">
        <f>DecomSchedule!Y8</f>
        <v>2.875</v>
      </c>
      <c r="BF13" s="54">
        <f>DecomSchedule!Z8</f>
        <v>2.875</v>
      </c>
      <c r="BG13" s="524">
        <f t="shared" ref="BG13:BI13" si="19">BF13</f>
        <v>2.875</v>
      </c>
      <c r="BH13" s="524">
        <f t="shared" si="19"/>
        <v>2.875</v>
      </c>
      <c r="BI13" s="524">
        <f t="shared" si="19"/>
        <v>2.875</v>
      </c>
      <c r="BJ13" s="54">
        <f>DecomSchedule!AD8</f>
        <v>0</v>
      </c>
      <c r="BK13" s="54">
        <f>DecomSchedule!AE8</f>
        <v>0</v>
      </c>
      <c r="BL13" s="54">
        <f>DecomSchedule!AF8</f>
        <v>0</v>
      </c>
      <c r="BM13" s="54">
        <f>DecomSchedule!AG8</f>
        <v>0</v>
      </c>
      <c r="BN13" s="54">
        <f>DecomSchedule!AH8</f>
        <v>0</v>
      </c>
      <c r="BO13" s="54">
        <f>DecomSchedule!AI8</f>
        <v>0</v>
      </c>
      <c r="BP13" s="54">
        <f>DecomSchedule!AJ8</f>
        <v>0</v>
      </c>
      <c r="BQ13" s="54">
        <f>DecomSchedule!AK8</f>
        <v>0</v>
      </c>
      <c r="BR13" s="54">
        <f>DecomSchedule!AL8</f>
        <v>0</v>
      </c>
      <c r="BS13" s="54">
        <f>DecomSchedule!AM8</f>
        <v>0</v>
      </c>
      <c r="BT13" s="54">
        <f>DecomSchedule!AN8</f>
        <v>0</v>
      </c>
      <c r="BU13" s="54">
        <f>INDEX(DecomSchedule!$AK8:$AT8,1,MATCH(BU$5,DecomSchedule!$AK$3:$AT$3,0))</f>
        <v>0</v>
      </c>
      <c r="BV13" s="54">
        <f>INDEX(DecomSchedule!$AK8:$AT8,1,MATCH(BV$5,DecomSchedule!$AK$3:$AT$3,0))</f>
        <v>0</v>
      </c>
      <c r="BW13" s="54">
        <f>INDEX(DecomSchedule!$AK8:$AT8,1,MATCH(BW$5,DecomSchedule!$AK$3:$AT$3,0))</f>
        <v>0</v>
      </c>
      <c r="BX13" s="54">
        <f>INDEX(DecomSchedule!$AK8:$AT8,1,MATCH(BX$5,DecomSchedule!$AK$3:$AT$3,0))</f>
        <v>0</v>
      </c>
      <c r="BY13" s="54">
        <f>INDEX(DecomSchedule!$AK8:$AT8,1,MATCH(BY$5,DecomSchedule!$AK$3:$AT$3,0))</f>
        <v>0</v>
      </c>
      <c r="BZ13" s="54">
        <f>INDEX(DecomSchedule!$AK8:$AT8,1,MATCH(BZ$5,DecomSchedule!$AK$3:$AT$3,0))</f>
        <v>0</v>
      </c>
      <c r="CA13" s="54">
        <v>0</v>
      </c>
      <c r="CB13" s="54">
        <v>0</v>
      </c>
      <c r="CC13" s="54">
        <v>0</v>
      </c>
    </row>
    <row r="14" spans="1:81" ht="11.25" customHeight="1" x14ac:dyDescent="0.2">
      <c r="A14" s="30" t="str">
        <f t="shared" si="10"/>
        <v>HENDRINA</v>
      </c>
      <c r="B14" s="30" t="str">
        <f>Processes!B14</f>
        <v>ETCLEHEND-E</v>
      </c>
      <c r="C14" s="30" t="str">
        <f>Processes!C14</f>
        <v>HENDRINA</v>
      </c>
      <c r="D14" s="43" t="str">
        <f t="shared" si="6"/>
        <v>PWRCLEHEND</v>
      </c>
      <c r="E14" s="30" t="s">
        <v>129</v>
      </c>
      <c r="F14" s="37" t="str">
        <f t="shared" si="11"/>
        <v>PWRCLEHEND</v>
      </c>
      <c r="G14" s="39"/>
      <c r="H14" s="41">
        <f>INDEX('eskom production 2009-YTD'!$Q$35:$Q$62,MATCH(C14,'eskom production 2009-YTD'!$A$35:$A$62,0))</f>
        <v>0.26887733443497819</v>
      </c>
      <c r="I14" s="39"/>
      <c r="J14" s="39">
        <f>INDEX(ElecBY!$S$82:$S$103,MATCH(B14,ElecBY!$D$82:$D$103,0))</f>
        <v>13.031476138327839</v>
      </c>
      <c r="K14" s="39">
        <f>INDEX(ElecBY!$O$82:$O$103,MATCH(B14,ElecBY!$D$82:$D$103,0))</f>
        <v>543.03708177844862</v>
      </c>
      <c r="L14" s="39">
        <f>INDEX(ElecBY!$K$82:$K$103,MATCH(B14,ElecBY!$D$82:$D$103,0))</f>
        <v>12066.046460195863</v>
      </c>
      <c r="M14" s="49">
        <v>30</v>
      </c>
      <c r="N14" s="30">
        <v>31.536000000000001</v>
      </c>
      <c r="O14" s="30">
        <v>1</v>
      </c>
      <c r="P14" s="37">
        <v>5</v>
      </c>
      <c r="Q14" s="37">
        <v>0</v>
      </c>
      <c r="R14" s="51">
        <f>INDEX('eskom production 2009-YTD'!$J$100:$AB$115,MATCH($C14,'eskom production 2009-YTD'!$A$100:$A$115,0),MATCH(R$5,'eskom production 2009-YTD'!$J$65:$AB$65,0))</f>
        <v>0.55583709036115203</v>
      </c>
      <c r="S14" s="51">
        <f>R14*HistoricalDispatch!$B$5/HistoricalDispatch!$B$4</f>
        <v>0.56069038926394066</v>
      </c>
      <c r="T14" s="51">
        <f>S14*HistoricalDispatch!$B$6/HistoricalDispatch!$B$5</f>
        <v>0.53721622129921087</v>
      </c>
      <c r="U14" s="51">
        <f>INDEX('eskom production 2009-YTD'!$J$100:$AB$115,MATCH($C14,'eskom production 2009-YTD'!$A$100:$A$115,0),MATCH(U$5,'eskom production 2009-YTD'!$J$65:$AB$65,0))</f>
        <v>0.60929999999999995</v>
      </c>
      <c r="V14" s="51">
        <f>INDEX('eskom production 2009-YTD'!$J$100:$AB$115,MATCH($C14,'eskom production 2009-YTD'!$A$100:$A$115,0),MATCH(V$5,'eskom production 2009-YTD'!$J$65:$AB$65,0))</f>
        <v>0.55959999999999999</v>
      </c>
      <c r="W14" s="51">
        <f>INDEX('eskom production 2009-YTD'!$J$100:$AB$115,MATCH($C14,'eskom production 2009-YTD'!$A$100:$A$115,0),MATCH(W$5,'eskom production 2009-YTD'!$J$65:$AB$65,0))</f>
        <v>0.69349999999999989</v>
      </c>
      <c r="X14" s="51">
        <f>INDEX('eskom production 2009-YTD'!$BC$100:$BN$114,MATCH($A14,'eskom production 2009-YTD'!$A$100:$A$114,0),MATCH(X$5,'eskom production 2009-YTD'!$BC$99:$BN$99,0))</f>
        <v>0.38835999999999998</v>
      </c>
      <c r="Y14" s="51">
        <f>INDEX('eskom production 2009-YTD'!$BC$100:$BN$114,MATCH($A14,'eskom production 2009-YTD'!$A$100:$A$114,0),MATCH(Y$5,'eskom production 2009-YTD'!$BC$99:$BN$99,0))</f>
        <v>0.31207499999999994</v>
      </c>
      <c r="Z14" s="51">
        <f>INDEX('eskom production 2009-YTD'!$BC$100:$BN$114,MATCH($A14,'eskom production 2009-YTD'!$A$100:$A$114,0),MATCH(Z$5,'eskom production 2009-YTD'!$BC$99:$BN$99,0))</f>
        <v>0.27046499999999996</v>
      </c>
      <c r="AA14" s="51"/>
      <c r="AB14" s="51"/>
      <c r="AC14" s="51"/>
      <c r="AD14" s="51"/>
      <c r="AE14" s="51"/>
      <c r="AF14" s="51">
        <f t="shared" si="7"/>
        <v>0.55528125327079092</v>
      </c>
      <c r="AG14" s="51">
        <f t="shared" si="8"/>
        <v>0.56012969887467667</v>
      </c>
      <c r="AH14" s="51">
        <f t="shared" si="9"/>
        <v>0.53184405908621879</v>
      </c>
      <c r="AI14" s="411">
        <v>0.05</v>
      </c>
      <c r="AJ14" s="51"/>
      <c r="AK14" s="37">
        <v>277.77800000000002</v>
      </c>
      <c r="AL14" s="51">
        <f t="shared" si="12"/>
        <v>96.25</v>
      </c>
      <c r="AM14" s="51">
        <f t="shared" si="13"/>
        <v>1E-3</v>
      </c>
      <c r="AN14" s="53">
        <f t="shared" si="14"/>
        <v>1.5E-3</v>
      </c>
      <c r="AO14" s="54">
        <f t="shared" si="15"/>
        <v>0.8675671912423536</v>
      </c>
      <c r="AP14" s="54">
        <f t="shared" si="16"/>
        <v>0.41576701555456169</v>
      </c>
      <c r="AQ14" s="51">
        <f t="shared" si="17"/>
        <v>0.02</v>
      </c>
      <c r="AR14" s="51">
        <f t="shared" si="18"/>
        <v>5.0000000000000001E-3</v>
      </c>
      <c r="AS14" s="51">
        <f t="shared" si="18"/>
        <v>4.5769644752755773E-2</v>
      </c>
      <c r="AT14" s="54">
        <f>INDEX('eskom production 2009-YTD'!$J$66:$AB$80,MATCH($C14,'eskom production 2009-YTD'!$A$66:$A$80,0),MATCH(AT$5,'eskom production 2009-YTD'!$J$65:$Q$65,0))/1000</f>
        <v>1.6379999999999999</v>
      </c>
      <c r="AU14" s="54">
        <f>INDEX('eskom production 2009-YTD'!$J$66:$AB$80,MATCH($C14,'eskom production 2009-YTD'!$A$66:$A$80,0),MATCH(AU$5,'eskom production 2009-YTD'!$J$65:$Q$65,0))/1000</f>
        <v>1.2929999999999999</v>
      </c>
      <c r="AV14" s="54">
        <f>DecomSchedule!P9</f>
        <v>1.2929999999999999</v>
      </c>
      <c r="AW14" s="54">
        <f>DecomSchedule!Q9</f>
        <v>1.1082857142857143</v>
      </c>
      <c r="AX14" s="54">
        <f>DecomSchedule!R9</f>
        <v>1.1082857142857143</v>
      </c>
      <c r="AY14" s="54">
        <f>DecomSchedule!S9</f>
        <v>0.9235714285714286</v>
      </c>
      <c r="AZ14" s="54">
        <f>DecomSchedule!T9</f>
        <v>0.73885714285714288</v>
      </c>
      <c r="BA14" s="54">
        <f>DecomSchedule!U9</f>
        <v>0</v>
      </c>
      <c r="BB14" s="54">
        <f>DecomSchedule!V9</f>
        <v>0</v>
      </c>
      <c r="BC14" s="54">
        <f>DecomSchedule!W9</f>
        <v>0</v>
      </c>
      <c r="BD14" s="54">
        <f>DecomSchedule!X9</f>
        <v>0</v>
      </c>
      <c r="BE14" s="54">
        <f>DecomSchedule!Y9</f>
        <v>0</v>
      </c>
      <c r="BF14" s="54">
        <f>DecomSchedule!Z9</f>
        <v>0</v>
      </c>
      <c r="BG14" s="54">
        <f>DecomSchedule!AA9</f>
        <v>0</v>
      </c>
      <c r="BH14" s="54">
        <f>DecomSchedule!AB9</f>
        <v>0</v>
      </c>
      <c r="BI14" s="54">
        <f>DecomSchedule!AC9</f>
        <v>0</v>
      </c>
      <c r="BJ14" s="54">
        <f>DecomSchedule!AD9</f>
        <v>0</v>
      </c>
      <c r="BK14" s="54">
        <f>DecomSchedule!AE9</f>
        <v>0</v>
      </c>
      <c r="BL14" s="54">
        <f>DecomSchedule!AF9</f>
        <v>0</v>
      </c>
      <c r="BM14" s="54">
        <f>DecomSchedule!AG9</f>
        <v>0</v>
      </c>
      <c r="BN14" s="54">
        <f>DecomSchedule!AH9</f>
        <v>0</v>
      </c>
      <c r="BO14" s="54">
        <f>DecomSchedule!AI9</f>
        <v>0</v>
      </c>
      <c r="BP14" s="54">
        <f>DecomSchedule!AJ9</f>
        <v>0</v>
      </c>
      <c r="BQ14" s="54">
        <f>DecomSchedule!AK9</f>
        <v>0</v>
      </c>
      <c r="BR14" s="54">
        <f>DecomSchedule!AL9</f>
        <v>0</v>
      </c>
      <c r="BS14" s="54">
        <f>DecomSchedule!AM9</f>
        <v>0</v>
      </c>
      <c r="BT14" s="54">
        <f>DecomSchedule!AN9</f>
        <v>0</v>
      </c>
      <c r="BU14" s="54">
        <f>INDEX(DecomSchedule!$AK9:$AT9,1,MATCH(BU$5,DecomSchedule!$AK$3:$AT$3,0))</f>
        <v>0</v>
      </c>
      <c r="BV14" s="54">
        <f>INDEX(DecomSchedule!$AK9:$AT9,1,MATCH(BV$5,DecomSchedule!$AK$3:$AT$3,0))</f>
        <v>0</v>
      </c>
      <c r="BW14" s="54">
        <f>INDEX(DecomSchedule!$AK9:$AT9,1,MATCH(BW$5,DecomSchedule!$AK$3:$AT$3,0))</f>
        <v>0</v>
      </c>
      <c r="BX14" s="54">
        <f>INDEX(DecomSchedule!$AK9:$AT9,1,MATCH(BX$5,DecomSchedule!$AK$3:$AT$3,0))</f>
        <v>0</v>
      </c>
      <c r="BY14" s="54">
        <f>INDEX(DecomSchedule!$AK9:$AT9,1,MATCH(BY$5,DecomSchedule!$AK$3:$AT$3,0))</f>
        <v>0</v>
      </c>
      <c r="BZ14" s="54">
        <f>INDEX(DecomSchedule!$AK9:$AT9,1,MATCH(BZ$5,DecomSchedule!$AK$3:$AT$3,0))</f>
        <v>0</v>
      </c>
      <c r="CA14" s="54">
        <v>0</v>
      </c>
      <c r="CB14" s="54">
        <v>0</v>
      </c>
      <c r="CC14" s="54">
        <v>0</v>
      </c>
    </row>
    <row r="15" spans="1:81" ht="11.25" customHeight="1" x14ac:dyDescent="0.2">
      <c r="A15" s="30" t="str">
        <f t="shared" si="10"/>
        <v>KENDAL</v>
      </c>
      <c r="B15" s="30" t="str">
        <f>Processes!B15</f>
        <v>ETCLEKEND-E</v>
      </c>
      <c r="C15" s="30" t="str">
        <f>Processes!C15</f>
        <v>KENDAL</v>
      </c>
      <c r="D15" s="43" t="str">
        <f t="shared" si="6"/>
        <v>PWRCLEKEND</v>
      </c>
      <c r="E15" s="30" t="s">
        <v>129</v>
      </c>
      <c r="F15" s="37" t="str">
        <f t="shared" si="11"/>
        <v>PWRCLEKEND</v>
      </c>
      <c r="G15" s="39"/>
      <c r="H15" s="41">
        <f>INDEX('eskom production 2009-YTD'!$Q$35:$Q$62,MATCH(C15,'eskom production 2009-YTD'!$A$35:$A$62,0))</f>
        <v>0.32453714221152569</v>
      </c>
      <c r="I15" s="39"/>
      <c r="J15" s="39">
        <f>INDEX(ElecBY!$S$82:$S$103,MATCH(B15,ElecBY!$D$82:$D$103,0))</f>
        <v>13.031476138327839</v>
      </c>
      <c r="K15" s="39">
        <f>INDEX(ElecBY!$O$82:$O$103,MATCH(B15,ElecBY!$D$82:$D$103,0))</f>
        <v>543.03708177844851</v>
      </c>
      <c r="L15" s="39">
        <f>INDEX(ElecBY!$K$82:$K$103,MATCH(B15,ElecBY!$D$82:$D$103,0))</f>
        <v>12066.046460195863</v>
      </c>
      <c r="M15" s="49">
        <v>30</v>
      </c>
      <c r="N15" s="30">
        <v>31.536000000000001</v>
      </c>
      <c r="O15" s="30">
        <v>1</v>
      </c>
      <c r="P15" s="37">
        <v>5</v>
      </c>
      <c r="Q15" s="37">
        <v>0</v>
      </c>
      <c r="R15" s="51">
        <f>INDEX('eskom production 2009-YTD'!$J$100:$AB$115,MATCH($C15,'eskom production 2009-YTD'!$A$100:$A$115,0),MATCH(R$5,'eskom production 2009-YTD'!$J$65:$AB$65,0))</f>
        <v>0.7392028286823541</v>
      </c>
      <c r="S15" s="51">
        <f>R15*HistoricalDispatch!$B$5/HistoricalDispatch!$B$4</f>
        <v>0.7456571879534335</v>
      </c>
      <c r="T15" s="51">
        <f>S15*HistoricalDispatch!$B$6/HistoricalDispatch!$B$5</f>
        <v>0.71443909966569696</v>
      </c>
      <c r="U15" s="51">
        <f>INDEX('eskom production 2009-YTD'!$J$100:$AB$115,MATCH($C15,'eskom production 2009-YTD'!$A$100:$A$115,0),MATCH(U$5,'eskom production 2009-YTD'!$J$65:$AB$65,0))</f>
        <v>0.69099999999999995</v>
      </c>
      <c r="V15" s="51">
        <f>INDEX('eskom production 2009-YTD'!$J$100:$AB$115,MATCH($C15,'eskom production 2009-YTD'!$A$100:$A$115,0),MATCH(V$5,'eskom production 2009-YTD'!$J$65:$AB$65,0))</f>
        <v>0.71340000000000003</v>
      </c>
      <c r="W15" s="51">
        <f>INDEX('eskom production 2009-YTD'!$J$100:$AB$115,MATCH($C15,'eskom production 2009-YTD'!$A$100:$A$115,0),MATCH(W$5,'eskom production 2009-YTD'!$J$65:$AB$65,0))</f>
        <v>0.65469999999999995</v>
      </c>
      <c r="X15" s="51">
        <f>INDEX('eskom production 2009-YTD'!$BC$100:$BN$114,MATCH($A15,'eskom production 2009-YTD'!$A$100:$A$114,0),MATCH(X$5,'eskom production 2009-YTD'!$BC$99:$BN$99,0))</f>
        <v>0.57072600000000007</v>
      </c>
      <c r="Y15" s="51">
        <f>INDEX('eskom production 2009-YTD'!$BC$100:$BN$114,MATCH($A15,'eskom production 2009-YTD'!$A$100:$A$114,0),MATCH(Y$5,'eskom production 2009-YTD'!$BC$99:$BN$99,0))</f>
        <v>0.50046749999999995</v>
      </c>
      <c r="Z15" s="51">
        <f>INDEX('eskom production 2009-YTD'!$BC$100:$BN$114,MATCH($A15,'eskom production 2009-YTD'!$A$100:$A$114,0),MATCH(Z$5,'eskom production 2009-YTD'!$BC$99:$BN$99,0))</f>
        <v>0.51527300000000009</v>
      </c>
      <c r="AA15" s="51">
        <f>INDEX('eskom production 2009-YTD'!$BC$100:$BN$114,MATCH($A15,'eskom production 2009-YTD'!$A$100:$A$114,0),MATCH(AA$5,'eskom production 2009-YTD'!$BC$99:$BN$99,0))</f>
        <v>0.50114400000000003</v>
      </c>
      <c r="AB15" s="51">
        <f>INDEX('eskom production 2009-YTD'!$BC$100:$BN$114,MATCH($A15,'eskom production 2009-YTD'!$A$100:$A$114,0),MATCH(AB$5,'eskom production 2009-YTD'!$BC$99:$BN$99,0))</f>
        <v>0.46851749999999998</v>
      </c>
      <c r="AC15" s="51">
        <f>INDEX('eskom production 2009-YTD'!$BC$100:$BN$114,MATCH($A15,'eskom production 2009-YTD'!$A$100:$A$114,0),MATCH(AC$5,'eskom production 2009-YTD'!$BC$99:$BN$99,0))</f>
        <v>0.52754450000000008</v>
      </c>
      <c r="AD15" s="51">
        <f>INDEX('eskom production 2009-YTD'!$BC$100:$BN$114,MATCH($A15,'eskom production 2009-YTD'!$A$100:$A$114,0),MATCH(AD$5,'eskom production 2009-YTD'!$BC$99:$BN$99,0))</f>
        <v>0.48602400000000007</v>
      </c>
      <c r="AE15" s="51">
        <f>INDEX('eskom production 2009-YTD'!$BC$100:$BN$114,MATCH($A15,'eskom production 2009-YTD'!$A$100:$A$114,0),MATCH(AE$5,'eskom production 2009-YTD'!$BC$99:$BN$99,0))</f>
        <v>0.45587499999999997</v>
      </c>
      <c r="AF15" s="51">
        <f t="shared" si="7"/>
        <v>0.73846362585367176</v>
      </c>
      <c r="AG15" s="51">
        <f t="shared" si="8"/>
        <v>0.74491153076548011</v>
      </c>
      <c r="AH15" s="51">
        <f t="shared" si="9"/>
        <v>0.70729470866903998</v>
      </c>
      <c r="AI15" s="411">
        <v>0.05</v>
      </c>
      <c r="AJ15" s="51"/>
      <c r="AK15" s="37">
        <v>277.77800000000002</v>
      </c>
      <c r="AL15" s="51">
        <f t="shared" si="12"/>
        <v>96.25</v>
      </c>
      <c r="AM15" s="51">
        <f t="shared" si="13"/>
        <v>1E-3</v>
      </c>
      <c r="AN15" s="53">
        <f t="shared" si="14"/>
        <v>1.5E-3</v>
      </c>
      <c r="AO15" s="54">
        <f t="shared" si="15"/>
        <v>0.8675671912423536</v>
      </c>
      <c r="AP15" s="54">
        <f t="shared" si="16"/>
        <v>0.41576701555456169</v>
      </c>
      <c r="AQ15" s="51">
        <f t="shared" si="17"/>
        <v>0.02</v>
      </c>
      <c r="AR15" s="51">
        <f t="shared" si="18"/>
        <v>5.0000000000000001E-3</v>
      </c>
      <c r="AS15" s="51">
        <f t="shared" si="18"/>
        <v>4.5769644752755773E-2</v>
      </c>
      <c r="AT15" s="54">
        <f>INDEX('eskom production 2009-YTD'!$J$66:$AB$80,MATCH($C15,'eskom production 2009-YTD'!$A$66:$A$80,0),MATCH(AT$5,'eskom production 2009-YTD'!$J$65:$Q$65,0))/1000</f>
        <v>3.84</v>
      </c>
      <c r="AU15" s="54">
        <f>INDEX('eskom production 2009-YTD'!$J$66:$AB$80,MATCH($C15,'eskom production 2009-YTD'!$A$66:$A$80,0),MATCH(AU$5,'eskom production 2009-YTD'!$J$65:$Q$65,0))/1000</f>
        <v>3.84</v>
      </c>
      <c r="AV15" s="54">
        <f>DecomSchedule!P10</f>
        <v>3.84</v>
      </c>
      <c r="AW15" s="54">
        <f>DecomSchedule!Q10</f>
        <v>3.84</v>
      </c>
      <c r="AX15" s="54">
        <f>DecomSchedule!R10</f>
        <v>3.84</v>
      </c>
      <c r="AY15" s="54">
        <f>DecomSchedule!S10</f>
        <v>3.84</v>
      </c>
      <c r="AZ15" s="54">
        <f>DecomSchedule!T10</f>
        <v>3.84</v>
      </c>
      <c r="BA15" s="54">
        <f>DecomSchedule!U10</f>
        <v>3.84</v>
      </c>
      <c r="BB15" s="54">
        <f>DecomSchedule!V10</f>
        <v>3.84</v>
      </c>
      <c r="BC15" s="54">
        <f>DecomSchedule!W10</f>
        <v>3.84</v>
      </c>
      <c r="BD15" s="54">
        <f>DecomSchedule!X10</f>
        <v>3.84</v>
      </c>
      <c r="BE15" s="54">
        <f>DecomSchedule!Y10</f>
        <v>3.84</v>
      </c>
      <c r="BF15" s="54">
        <f>DecomSchedule!Z10</f>
        <v>3.84</v>
      </c>
      <c r="BG15" s="54">
        <f>DecomSchedule!AA10</f>
        <v>3.84</v>
      </c>
      <c r="BH15" s="54">
        <f>DecomSchedule!AB10</f>
        <v>3.84</v>
      </c>
      <c r="BI15" s="54">
        <f>DecomSchedule!AC10</f>
        <v>3.84</v>
      </c>
      <c r="BJ15" s="54">
        <f>DecomSchedule!AD10</f>
        <v>3.84</v>
      </c>
      <c r="BK15" s="54">
        <f>DecomSchedule!AE10</f>
        <v>3.84</v>
      </c>
      <c r="BL15" s="54">
        <f>DecomSchedule!AF10</f>
        <v>3.84</v>
      </c>
      <c r="BM15" s="54">
        <f>DecomSchedule!AG10</f>
        <v>3.84</v>
      </c>
      <c r="BN15" s="54">
        <f>DecomSchedule!AH10</f>
        <v>3.84</v>
      </c>
      <c r="BO15" s="524">
        <f t="shared" ref="BO15:BS15" si="20">BN15</f>
        <v>3.84</v>
      </c>
      <c r="BP15" s="524">
        <f t="shared" si="20"/>
        <v>3.84</v>
      </c>
      <c r="BQ15" s="524">
        <f t="shared" si="20"/>
        <v>3.84</v>
      </c>
      <c r="BR15" s="524">
        <f t="shared" si="20"/>
        <v>3.84</v>
      </c>
      <c r="BS15" s="524">
        <f t="shared" si="20"/>
        <v>3.84</v>
      </c>
      <c r="BT15" s="54">
        <f>DecomSchedule!AN10</f>
        <v>0</v>
      </c>
      <c r="BU15" s="54">
        <f>INDEX(DecomSchedule!$AK10:$AT10,1,MATCH(BU$5,DecomSchedule!$AK$3:$AT$3,0))</f>
        <v>0</v>
      </c>
      <c r="BV15" s="54">
        <f>INDEX(DecomSchedule!$AK10:$AT10,1,MATCH(BV$5,DecomSchedule!$AK$3:$AT$3,0))</f>
        <v>0</v>
      </c>
      <c r="BW15" s="54">
        <f>INDEX(DecomSchedule!$AK10:$AT10,1,MATCH(BW$5,DecomSchedule!$AK$3:$AT$3,0))</f>
        <v>0</v>
      </c>
      <c r="BX15" s="54">
        <f>INDEX(DecomSchedule!$AK10:$AT10,1,MATCH(BX$5,DecomSchedule!$AK$3:$AT$3,0))</f>
        <v>0</v>
      </c>
      <c r="BY15" s="54">
        <f>INDEX(DecomSchedule!$AK10:$AT10,1,MATCH(BY$5,DecomSchedule!$AK$3:$AT$3,0))</f>
        <v>0</v>
      </c>
      <c r="BZ15" s="54">
        <f>INDEX(DecomSchedule!$AK10:$AT10,1,MATCH(BZ$5,DecomSchedule!$AK$3:$AT$3,0))</f>
        <v>0</v>
      </c>
      <c r="CA15" s="54">
        <v>0</v>
      </c>
      <c r="CB15" s="54">
        <v>0</v>
      </c>
      <c r="CC15" s="54">
        <v>0</v>
      </c>
    </row>
    <row r="16" spans="1:81" ht="11.25" customHeight="1" x14ac:dyDescent="0.2">
      <c r="A16" s="30" t="str">
        <f t="shared" si="10"/>
        <v>KRIEL</v>
      </c>
      <c r="B16" s="30" t="str">
        <f>Processes!B16</f>
        <v>ETCLEKRIE-E</v>
      </c>
      <c r="C16" s="30" t="str">
        <f>Processes!C16</f>
        <v>KRIEL</v>
      </c>
      <c r="D16" s="43" t="str">
        <f t="shared" si="6"/>
        <v>PWRCLEKRIE</v>
      </c>
      <c r="E16" s="30" t="s">
        <v>129</v>
      </c>
      <c r="F16" s="37" t="str">
        <f t="shared" si="11"/>
        <v>PWRCLEKRIE</v>
      </c>
      <c r="G16" s="39"/>
      <c r="H16" s="41">
        <f>INDEX('eskom production 2009-YTD'!$Q$35:$Q$62,MATCH(C16,'eskom production 2009-YTD'!$A$35:$A$62,0))</f>
        <v>0.31292646716362432</v>
      </c>
      <c r="I16" s="39"/>
      <c r="J16" s="39">
        <f>INDEX(ElecBY!$S$82:$S$103,MATCH(B16,ElecBY!$D$82:$D$103,0))</f>
        <v>13.031476138327839</v>
      </c>
      <c r="K16" s="39">
        <f>INDEX(ElecBY!$O$82:$O$103,MATCH(B16,ElecBY!$D$82:$D$103,0))</f>
        <v>543.03708177844851</v>
      </c>
      <c r="L16" s="39">
        <f>INDEX(ElecBY!$K$82:$K$103,MATCH(B16,ElecBY!$D$82:$D$103,0))</f>
        <v>12066.046460195865</v>
      </c>
      <c r="M16" s="49">
        <v>30</v>
      </c>
      <c r="N16" s="30">
        <v>31.536000000000001</v>
      </c>
      <c r="O16" s="30">
        <v>1</v>
      </c>
      <c r="P16" s="37">
        <v>5</v>
      </c>
      <c r="Q16" s="37">
        <v>0</v>
      </c>
      <c r="R16" s="51">
        <f>INDEX('eskom production 2009-YTD'!$J$100:$AB$115,MATCH($C16,'eskom production 2009-YTD'!$A$100:$A$115,0),MATCH(R$5,'eskom production 2009-YTD'!$J$65:$AB$65,0))</f>
        <v>0.51428303219089555</v>
      </c>
      <c r="S16" s="51">
        <f>R16*HistoricalDispatch!$B$5/HistoricalDispatch!$B$4</f>
        <v>0.51877350128541588</v>
      </c>
      <c r="T16" s="51">
        <f>S16*HistoricalDispatch!$B$6/HistoricalDispatch!$B$5</f>
        <v>0.4970542484892132</v>
      </c>
      <c r="U16" s="51">
        <f>INDEX('eskom production 2009-YTD'!$J$100:$AB$115,MATCH($C16,'eskom production 2009-YTD'!$A$100:$A$115,0),MATCH(U$5,'eskom production 2009-YTD'!$J$65:$AB$65,0))</f>
        <v>0.54100000000000004</v>
      </c>
      <c r="V16" s="51">
        <f>INDEX('eskom production 2009-YTD'!$J$100:$AB$115,MATCH($C16,'eskom production 2009-YTD'!$A$100:$A$115,0),MATCH(V$5,'eskom production 2009-YTD'!$J$65:$AB$65,0))</f>
        <v>0.63419999999999999</v>
      </c>
      <c r="W16" s="51">
        <f>INDEX('eskom production 2009-YTD'!$J$100:$AB$115,MATCH($C16,'eskom production 2009-YTD'!$A$100:$A$115,0),MATCH(W$5,'eskom production 2009-YTD'!$J$65:$AB$65,0))</f>
        <v>0.54630000000000001</v>
      </c>
      <c r="X16" s="51">
        <f>INDEX('eskom production 2009-YTD'!$BC$100:$BN$114,MATCH($A16,'eskom production 2009-YTD'!$A$100:$A$114,0),MATCH(X$5,'eskom production 2009-YTD'!$BC$99:$BN$99,0))</f>
        <v>0.28778400000000004</v>
      </c>
      <c r="Y16" s="51">
        <f>INDEX('eskom production 2009-YTD'!$BC$100:$BN$114,MATCH($A16,'eskom production 2009-YTD'!$A$100:$A$114,0),MATCH(Y$5,'eskom production 2009-YTD'!$BC$99:$BN$99,0))</f>
        <v>0.29339999999999999</v>
      </c>
      <c r="Z16" s="51">
        <f>INDEX('eskom production 2009-YTD'!$BC$100:$BN$114,MATCH($A16,'eskom production 2009-YTD'!$A$100:$A$114,0),MATCH(Z$5,'eskom production 2009-YTD'!$BC$99:$BN$99,0))</f>
        <v>0.25131599999999998</v>
      </c>
      <c r="AA16" s="51">
        <f>INDEX('eskom production 2009-YTD'!$BC$100:$BN$114,MATCH($A16,'eskom production 2009-YTD'!$A$100:$A$114,0),MATCH(AA$5,'eskom production 2009-YTD'!$BC$99:$BN$99,0))</f>
        <v>0.21578700000000003</v>
      </c>
      <c r="AB16" s="51">
        <f>INDEX('eskom production 2009-YTD'!$BC$100:$BN$114,MATCH($A16,'eskom production 2009-YTD'!$A$100:$A$114,0),MATCH(AB$5,'eskom production 2009-YTD'!$BC$99:$BN$99,0))</f>
        <v>0.24111499999999997</v>
      </c>
      <c r="AC16" s="51">
        <f>INDEX('eskom production 2009-YTD'!$BC$100:$BN$114,MATCH($A16,'eskom production 2009-YTD'!$A$100:$A$114,0),MATCH(AC$5,'eskom production 2009-YTD'!$BC$99:$BN$99,0))</f>
        <v>0.16869600000000001</v>
      </c>
      <c r="AD16" s="51">
        <f>INDEX('eskom production 2009-YTD'!$BC$100:$BN$114,MATCH($A16,'eskom production 2009-YTD'!$A$100:$A$114,0),MATCH(AD$5,'eskom production 2009-YTD'!$BC$99:$BN$99,0))</f>
        <v>0.19372799999999998</v>
      </c>
      <c r="AE16" s="51">
        <f>INDEX('eskom production 2009-YTD'!$BC$100:$BN$114,MATCH($A16,'eskom production 2009-YTD'!$A$100:$A$114,0),MATCH(AE$5,'eskom production 2009-YTD'!$BC$99:$BN$99,0))</f>
        <v>0.16037500000000002</v>
      </c>
      <c r="AF16" s="51">
        <f t="shared" si="7"/>
        <v>0.51376874915870463</v>
      </c>
      <c r="AG16" s="51">
        <f t="shared" si="8"/>
        <v>0.51825472778413051</v>
      </c>
      <c r="AH16" s="51">
        <f t="shared" si="9"/>
        <v>0.49208370600432105</v>
      </c>
      <c r="AI16" s="411">
        <v>0.05</v>
      </c>
      <c r="AJ16" s="51"/>
      <c r="AK16" s="37">
        <v>277.77800000000002</v>
      </c>
      <c r="AL16" s="51">
        <f t="shared" si="12"/>
        <v>96.25</v>
      </c>
      <c r="AM16" s="51">
        <f t="shared" si="13"/>
        <v>1E-3</v>
      </c>
      <c r="AN16" s="53">
        <f t="shared" si="14"/>
        <v>1.5E-3</v>
      </c>
      <c r="AO16" s="54">
        <f t="shared" si="15"/>
        <v>0.8675671912423536</v>
      </c>
      <c r="AP16" s="54">
        <f t="shared" si="16"/>
        <v>0.41576701555456169</v>
      </c>
      <c r="AQ16" s="51">
        <f t="shared" si="17"/>
        <v>0.02</v>
      </c>
      <c r="AR16" s="51">
        <f t="shared" si="18"/>
        <v>5.0000000000000001E-3</v>
      </c>
      <c r="AS16" s="51">
        <f t="shared" si="18"/>
        <v>4.5769644752755773E-2</v>
      </c>
      <c r="AT16" s="54">
        <f>INDEX('eskom production 2009-YTD'!$J$66:$AB$80,MATCH($C16,'eskom production 2009-YTD'!$A$66:$A$80,0),MATCH(AT$5,'eskom production 2009-YTD'!$J$65:$Q$65,0))/1000</f>
        <v>2.85</v>
      </c>
      <c r="AU16" s="54">
        <f>INDEX('eskom production 2009-YTD'!$J$66:$AB$80,MATCH($C16,'eskom production 2009-YTD'!$A$66:$A$80,0),MATCH(AU$5,'eskom production 2009-YTD'!$J$65:$Q$65,0))/1000</f>
        <v>2.85</v>
      </c>
      <c r="AV16" s="54">
        <f>DecomSchedule!P11</f>
        <v>2.85</v>
      </c>
      <c r="AW16" s="54">
        <f>DecomSchedule!Q11</f>
        <v>2.85</v>
      </c>
      <c r="AX16" s="54">
        <f>DecomSchedule!R11</f>
        <v>2.85</v>
      </c>
      <c r="AY16" s="54">
        <f>DecomSchedule!S11</f>
        <v>2.85</v>
      </c>
      <c r="AZ16" s="54">
        <f>DecomSchedule!T11</f>
        <v>2.85</v>
      </c>
      <c r="BA16" s="54">
        <f>DecomSchedule!U11</f>
        <v>2.85</v>
      </c>
      <c r="BB16" s="54">
        <f>DecomSchedule!V11</f>
        <v>2.375</v>
      </c>
      <c r="BC16" s="54">
        <f>DecomSchedule!W11</f>
        <v>1.9</v>
      </c>
      <c r="BD16" s="54">
        <f>DecomSchedule!X11</f>
        <v>1.4249999999999998</v>
      </c>
      <c r="BE16" s="54">
        <f>DecomSchedule!Y11</f>
        <v>0.47499999999999976</v>
      </c>
      <c r="BF16" s="54">
        <f>DecomSchedule!Z11</f>
        <v>0</v>
      </c>
      <c r="BG16" s="54">
        <f>DecomSchedule!AA11</f>
        <v>0</v>
      </c>
      <c r="BH16" s="54">
        <f>DecomSchedule!AB11</f>
        <v>0</v>
      </c>
      <c r="BI16" s="54">
        <f>DecomSchedule!AC11</f>
        <v>0</v>
      </c>
      <c r="BJ16" s="54">
        <f>DecomSchedule!AD11</f>
        <v>0</v>
      </c>
      <c r="BK16" s="54">
        <f>DecomSchedule!AE11</f>
        <v>0</v>
      </c>
      <c r="BL16" s="54">
        <f>DecomSchedule!AF11</f>
        <v>0</v>
      </c>
      <c r="BM16" s="54">
        <f>DecomSchedule!AG11</f>
        <v>0</v>
      </c>
      <c r="BN16" s="54">
        <f>DecomSchedule!AH11</f>
        <v>0</v>
      </c>
      <c r="BO16" s="54">
        <f>DecomSchedule!AI11</f>
        <v>0</v>
      </c>
      <c r="BP16" s="54">
        <f>DecomSchedule!AJ11</f>
        <v>0</v>
      </c>
      <c r="BQ16" s="54">
        <f>DecomSchedule!AK11</f>
        <v>0</v>
      </c>
      <c r="BR16" s="54">
        <f>DecomSchedule!AL11</f>
        <v>0</v>
      </c>
      <c r="BS16" s="54">
        <f>DecomSchedule!AM11</f>
        <v>0</v>
      </c>
      <c r="BT16" s="54">
        <f>DecomSchedule!AN11</f>
        <v>0</v>
      </c>
      <c r="BU16" s="54">
        <f>INDEX(DecomSchedule!$AK11:$AT11,1,MATCH(BU$5,DecomSchedule!$AK$3:$AT$3,0))</f>
        <v>0</v>
      </c>
      <c r="BV16" s="54">
        <f>INDEX(DecomSchedule!$AK11:$AT11,1,MATCH(BV$5,DecomSchedule!$AK$3:$AT$3,0))</f>
        <v>0</v>
      </c>
      <c r="BW16" s="54">
        <f>INDEX(DecomSchedule!$AK11:$AT11,1,MATCH(BW$5,DecomSchedule!$AK$3:$AT$3,0))</f>
        <v>0</v>
      </c>
      <c r="BX16" s="54">
        <f>INDEX(DecomSchedule!$AK11:$AT11,1,MATCH(BX$5,DecomSchedule!$AK$3:$AT$3,0))</f>
        <v>0</v>
      </c>
      <c r="BY16" s="54">
        <f>INDEX(DecomSchedule!$AK11:$AT11,1,MATCH(BY$5,DecomSchedule!$AK$3:$AT$3,0))</f>
        <v>0</v>
      </c>
      <c r="BZ16" s="54">
        <f>INDEX(DecomSchedule!$AK11:$AT11,1,MATCH(BZ$5,DecomSchedule!$AK$3:$AT$3,0))</f>
        <v>0</v>
      </c>
      <c r="CA16" s="54">
        <v>0</v>
      </c>
      <c r="CB16" s="54">
        <v>0</v>
      </c>
      <c r="CC16" s="54">
        <v>0</v>
      </c>
    </row>
    <row r="17" spans="1:81" ht="11.25" customHeight="1" x14ac:dyDescent="0.2">
      <c r="A17" s="30" t="str">
        <f t="shared" si="10"/>
        <v>LETHABO</v>
      </c>
      <c r="B17" s="30" t="str">
        <f>Processes!B17</f>
        <v>ETCLELETH-E</v>
      </c>
      <c r="C17" s="30" t="str">
        <f>Processes!C17</f>
        <v>LETHABO</v>
      </c>
      <c r="D17" s="43" t="str">
        <f t="shared" si="6"/>
        <v>PWRCLELETH</v>
      </c>
      <c r="E17" s="30" t="s">
        <v>129</v>
      </c>
      <c r="F17" s="37" t="str">
        <f t="shared" si="11"/>
        <v>PWRCLELETH</v>
      </c>
      <c r="G17" s="39"/>
      <c r="H17" s="41">
        <f>INDEX('eskom production 2009-YTD'!$Q$35:$Q$62,MATCH(C17,'eskom production 2009-YTD'!$A$35:$A$62,0))</f>
        <v>0.34</v>
      </c>
      <c r="I17" s="39"/>
      <c r="J17" s="39">
        <f>INDEX(ElecBY!$S$82:$S$103,MATCH(B17,ElecBY!$D$82:$D$103,0))</f>
        <v>13.031476138327839</v>
      </c>
      <c r="K17" s="39">
        <f>INDEX(ElecBY!$O$82:$O$103,MATCH(B17,ElecBY!$D$82:$D$103,0))</f>
        <v>543.03708177844862</v>
      </c>
      <c r="L17" s="39">
        <f>INDEX(ElecBY!$K$82:$K$103,MATCH(B17,ElecBY!$D$82:$D$103,0))</f>
        <v>12066.046460195865</v>
      </c>
      <c r="M17" s="49">
        <v>30</v>
      </c>
      <c r="N17" s="30">
        <v>31.536000000000001</v>
      </c>
      <c r="O17" s="30">
        <v>1</v>
      </c>
      <c r="P17" s="37">
        <v>5</v>
      </c>
      <c r="Q17" s="37">
        <v>0</v>
      </c>
      <c r="R17" s="51">
        <f>INDEX('eskom production 2009-YTD'!$J$100:$AB$115,MATCH($C17,'eskom production 2009-YTD'!$A$100:$A$115,0),MATCH(R$5,'eskom production 2009-YTD'!$J$65:$AB$65,0))</f>
        <v>0.61629073285527491</v>
      </c>
      <c r="S17" s="51">
        <f>R17*HistoricalDispatch!$B$5/HistoricalDispatch!$B$4</f>
        <v>0.62167188353671265</v>
      </c>
      <c r="T17" s="51">
        <f>S17*HistoricalDispatch!$B$6/HistoricalDispatch!$B$5</f>
        <v>0.59564463125538081</v>
      </c>
      <c r="U17" s="51">
        <f>INDEX('eskom production 2009-YTD'!$J$100:$AB$115,MATCH($C17,'eskom production 2009-YTD'!$A$100:$A$115,0),MATCH(U$5,'eskom production 2009-YTD'!$J$65:$AB$65,0))</f>
        <v>0.73980000000000001</v>
      </c>
      <c r="V17" s="51">
        <f>INDEX('eskom production 2009-YTD'!$J$100:$AB$115,MATCH($C17,'eskom production 2009-YTD'!$A$100:$A$115,0),MATCH(V$5,'eskom production 2009-YTD'!$J$65:$AB$65,0))</f>
        <v>0.7238</v>
      </c>
      <c r="W17" s="51">
        <f>INDEX('eskom production 2009-YTD'!$J$100:$AB$115,MATCH($C17,'eskom production 2009-YTD'!$A$100:$A$115,0),MATCH(W$5,'eskom production 2009-YTD'!$J$65:$AB$65,0))</f>
        <v>0.75609999999999999</v>
      </c>
      <c r="X17" s="51">
        <f>INDEX('eskom production 2009-YTD'!$BC$100:$BN$114,MATCH($A17,'eskom production 2009-YTD'!$A$100:$A$114,0),MATCH(X$5,'eskom production 2009-YTD'!$BC$99:$BN$99,0))</f>
        <v>0.39760000000000001</v>
      </c>
      <c r="Y17" s="51">
        <f>INDEX('eskom production 2009-YTD'!$BC$100:$BN$114,MATCH($A17,'eskom production 2009-YTD'!$A$100:$A$114,0),MATCH(Y$5,'eskom production 2009-YTD'!$BC$99:$BN$99,0))</f>
        <v>0.31684499999999999</v>
      </c>
      <c r="Z17" s="51">
        <f>INDEX('eskom production 2009-YTD'!$BC$100:$BN$114,MATCH($A17,'eskom production 2009-YTD'!$A$100:$A$114,0),MATCH(Z$5,'eskom production 2009-YTD'!$BC$99:$BN$99,0))</f>
        <v>0.29203199999999996</v>
      </c>
      <c r="AA17" s="51">
        <f>INDEX('eskom production 2009-YTD'!$BC$100:$BN$114,MATCH($A17,'eskom production 2009-YTD'!$A$100:$A$114,0),MATCH(AA$5,'eskom production 2009-YTD'!$BC$99:$BN$99,0))</f>
        <v>0.22595100000000001</v>
      </c>
      <c r="AB17" s="51">
        <f>INDEX('eskom production 2009-YTD'!$BC$100:$BN$114,MATCH($A17,'eskom production 2009-YTD'!$A$100:$A$114,0),MATCH(AB$5,'eskom production 2009-YTD'!$BC$99:$BN$99,0))</f>
        <v>0.23768499999999995</v>
      </c>
      <c r="AC17" s="51">
        <f>INDEX('eskom production 2009-YTD'!$BC$100:$BN$114,MATCH($A17,'eskom production 2009-YTD'!$A$100:$A$114,0),MATCH(AC$5,'eskom production 2009-YTD'!$BC$99:$BN$99,0))</f>
        <v>0.22710599999999997</v>
      </c>
      <c r="AD17" s="51">
        <f>INDEX('eskom production 2009-YTD'!$BC$100:$BN$114,MATCH($A17,'eskom production 2009-YTD'!$A$100:$A$114,0),MATCH(AD$5,'eskom production 2009-YTD'!$BC$99:$BN$99,0))</f>
        <v>0.23699200000000001</v>
      </c>
      <c r="AE17" s="51">
        <f>INDEX('eskom production 2009-YTD'!$BC$100:$BN$114,MATCH($A17,'eskom production 2009-YTD'!$A$100:$A$114,0),MATCH(AE$5,'eskom production 2009-YTD'!$BC$99:$BN$99,0))</f>
        <v>0.18340000000000001</v>
      </c>
      <c r="AF17" s="51">
        <f t="shared" si="7"/>
        <v>0.61567444212241962</v>
      </c>
      <c r="AG17" s="51">
        <f t="shared" si="8"/>
        <v>0.62105021165317598</v>
      </c>
      <c r="AH17" s="51">
        <f t="shared" si="9"/>
        <v>0.58968818494282704</v>
      </c>
      <c r="AI17" s="411">
        <v>0.05</v>
      </c>
      <c r="AJ17" s="51"/>
      <c r="AK17" s="37">
        <v>277.77800000000002</v>
      </c>
      <c r="AL17" s="51">
        <f t="shared" si="12"/>
        <v>96.25</v>
      </c>
      <c r="AM17" s="51">
        <f t="shared" si="13"/>
        <v>1E-3</v>
      </c>
      <c r="AN17" s="53">
        <f t="shared" si="14"/>
        <v>1.5E-3</v>
      </c>
      <c r="AO17" s="54">
        <f t="shared" si="15"/>
        <v>0.8675671912423536</v>
      </c>
      <c r="AP17" s="54">
        <f t="shared" si="16"/>
        <v>0.41576701555456169</v>
      </c>
      <c r="AQ17" s="51">
        <f t="shared" si="17"/>
        <v>0.02</v>
      </c>
      <c r="AR17" s="51">
        <f t="shared" si="18"/>
        <v>5.0000000000000001E-3</v>
      </c>
      <c r="AS17" s="51">
        <f t="shared" si="18"/>
        <v>4.5769644752755773E-2</v>
      </c>
      <c r="AT17" s="54">
        <f>INDEX('eskom production 2009-YTD'!$J$66:$AB$80,MATCH($C17,'eskom production 2009-YTD'!$A$66:$A$80,0),MATCH(AT$5,'eskom production 2009-YTD'!$J$65:$Q$65,0))/1000</f>
        <v>3.5579999999999998</v>
      </c>
      <c r="AU17" s="54">
        <f>INDEX('eskom production 2009-YTD'!$J$66:$AB$80,MATCH($C17,'eskom production 2009-YTD'!$A$66:$A$80,0),MATCH(AU$5,'eskom production 2009-YTD'!$J$65:$Q$65,0))/1000</f>
        <v>3.5579999999999998</v>
      </c>
      <c r="AV17" s="54">
        <f>DecomSchedule!P12</f>
        <v>3.5579999999999998</v>
      </c>
      <c r="AW17" s="54">
        <f>DecomSchedule!Q12</f>
        <v>3.5579999999999998</v>
      </c>
      <c r="AX17" s="54">
        <f>DecomSchedule!R12</f>
        <v>3.5579999999999998</v>
      </c>
      <c r="AY17" s="54">
        <f>DecomSchedule!S12</f>
        <v>3.5579999999999998</v>
      </c>
      <c r="AZ17" s="54">
        <f>DecomSchedule!T12</f>
        <v>3.5579999999999998</v>
      </c>
      <c r="BA17" s="54">
        <f>DecomSchedule!U12</f>
        <v>3.5579999999999998</v>
      </c>
      <c r="BB17" s="54">
        <f>DecomSchedule!V12</f>
        <v>3.5579999999999998</v>
      </c>
      <c r="BC17" s="54">
        <f>DecomSchedule!W12</f>
        <v>3.5579999999999998</v>
      </c>
      <c r="BD17" s="54">
        <f>DecomSchedule!X12</f>
        <v>3.5579999999999998</v>
      </c>
      <c r="BE17" s="54">
        <f>DecomSchedule!Y12</f>
        <v>3.5579999999999998</v>
      </c>
      <c r="BF17" s="54">
        <f>DecomSchedule!Z12</f>
        <v>3.5579999999999998</v>
      </c>
      <c r="BG17" s="54">
        <f>DecomSchedule!AA12</f>
        <v>3.5579999999999998</v>
      </c>
      <c r="BH17" s="54">
        <f>DecomSchedule!AB12</f>
        <v>3.5579999999999998</v>
      </c>
      <c r="BI17" s="54">
        <f>DecomSchedule!AC12</f>
        <v>3.5579999999999998</v>
      </c>
      <c r="BJ17" s="54">
        <f>DecomSchedule!AD12</f>
        <v>3.5579999999999998</v>
      </c>
      <c r="BK17" s="54">
        <f>DecomSchedule!AE12</f>
        <v>3.5579999999999998</v>
      </c>
      <c r="BL17" s="524">
        <f t="shared" ref="BL17:BP17" si="21">BK17</f>
        <v>3.5579999999999998</v>
      </c>
      <c r="BM17" s="524">
        <f t="shared" si="21"/>
        <v>3.5579999999999998</v>
      </c>
      <c r="BN17" s="524">
        <f t="shared" si="21"/>
        <v>3.5579999999999998</v>
      </c>
      <c r="BO17" s="524">
        <f t="shared" si="21"/>
        <v>3.5579999999999998</v>
      </c>
      <c r="BP17" s="524">
        <f t="shared" si="21"/>
        <v>3.5579999999999998</v>
      </c>
      <c r="BQ17" s="54">
        <f>DecomSchedule!AK12</f>
        <v>0</v>
      </c>
      <c r="BR17" s="54">
        <f>DecomSchedule!AL12</f>
        <v>0</v>
      </c>
      <c r="BS17" s="54">
        <f>DecomSchedule!AM12</f>
        <v>0</v>
      </c>
      <c r="BT17" s="54">
        <f>DecomSchedule!AN12</f>
        <v>0</v>
      </c>
      <c r="BU17" s="54">
        <f>INDEX(DecomSchedule!$AK12:$AT12,1,MATCH(BU$5,DecomSchedule!$AK$3:$AT$3,0))</f>
        <v>0</v>
      </c>
      <c r="BV17" s="54">
        <f>INDEX(DecomSchedule!$AK12:$AT12,1,MATCH(BV$5,DecomSchedule!$AK$3:$AT$3,0))</f>
        <v>0</v>
      </c>
      <c r="BW17" s="54">
        <f>INDEX(DecomSchedule!$AK12:$AT12,1,MATCH(BW$5,DecomSchedule!$AK$3:$AT$3,0))</f>
        <v>0</v>
      </c>
      <c r="BX17" s="54">
        <f>INDEX(DecomSchedule!$AK12:$AT12,1,MATCH(BX$5,DecomSchedule!$AK$3:$AT$3,0))</f>
        <v>0</v>
      </c>
      <c r="BY17" s="54">
        <f>INDEX(DecomSchedule!$AK12:$AT12,1,MATCH(BY$5,DecomSchedule!$AK$3:$AT$3,0))</f>
        <v>0</v>
      </c>
      <c r="BZ17" s="54">
        <f>INDEX(DecomSchedule!$AK12:$AT12,1,MATCH(BZ$5,DecomSchedule!$AK$3:$AT$3,0))</f>
        <v>0</v>
      </c>
      <c r="CA17" s="54">
        <v>0</v>
      </c>
      <c r="CB17" s="54">
        <v>0</v>
      </c>
      <c r="CC17" s="54">
        <v>0</v>
      </c>
    </row>
    <row r="18" spans="1:81" ht="11.25" customHeight="1" x14ac:dyDescent="0.2">
      <c r="A18" s="30" t="s">
        <v>1806</v>
      </c>
      <c r="B18" s="30" t="str">
        <f>Processes!B18</f>
        <v>ETCLEMAJD-E</v>
      </c>
      <c r="C18" s="30" t="str">
        <f>Processes!C18</f>
        <v>MAJUBA DRY</v>
      </c>
      <c r="D18" s="43" t="s">
        <v>321</v>
      </c>
      <c r="E18" s="30" t="s">
        <v>129</v>
      </c>
      <c r="F18" s="37" t="str">
        <f t="shared" si="11"/>
        <v>PWRCLEMAJU</v>
      </c>
      <c r="G18" s="39"/>
      <c r="H18" s="41">
        <v>0.3</v>
      </c>
      <c r="I18" s="39"/>
      <c r="J18" s="39">
        <f>INDEX(ElecBY!$S$82:$S$103,MATCH(B18,ElecBY!$D$82:$D$103,0))</f>
        <v>13.031476138327839</v>
      </c>
      <c r="K18" s="39">
        <f>INDEX(ElecBY!$O$82:$O$103,MATCH(B18,ElecBY!$D$82:$D$103,0))</f>
        <v>543.03708177844862</v>
      </c>
      <c r="L18" s="39">
        <f>INDEX(ElecBY!$K$82:$K$103,MATCH(B18,ElecBY!$D$82:$D$103,0))</f>
        <v>12066.046460195863</v>
      </c>
      <c r="M18" s="49">
        <v>30</v>
      </c>
      <c r="N18" s="30">
        <v>31.536000000000001</v>
      </c>
      <c r="O18" s="30">
        <v>1</v>
      </c>
      <c r="P18" s="37">
        <v>5</v>
      </c>
      <c r="Q18" s="37">
        <v>0</v>
      </c>
      <c r="R18" s="51">
        <f>INDEX('eskom production 2009-YTD'!$J$100:$AB$115,MATCH("majuba",'eskom production 2009-YTD'!$A$100:$A$115,0),MATCH(R$5,'eskom production 2009-YTD'!$J$65:$AB$65,0))</f>
        <v>0.69869089871477885</v>
      </c>
      <c r="S18" s="51">
        <f>R18*HistoricalDispatch!$B$5/HistoricalDispatch!$B$4</f>
        <v>0.70479152753376895</v>
      </c>
      <c r="T18" s="51">
        <f>S18*HistoricalDispatch!$B$6/HistoricalDispatch!$B$5</f>
        <v>0.67528434315137709</v>
      </c>
      <c r="U18" s="51">
        <f>INDEX('eskom production 2009-YTD'!$J$100:$AB$115,MATCH("majuba",'eskom production 2009-YTD'!$A$100:$A$115,0),MATCH(U$5,'eskom production 2009-YTD'!$J$65:$AB$65,0))</f>
        <v>0.73049999999999993</v>
      </c>
      <c r="V18" s="51">
        <f>INDEX('eskom production 2009-YTD'!$J$100:$AB$115,MATCH("majuba",'eskom production 2009-YTD'!$A$100:$A$115,0),MATCH(V$5,'eskom production 2009-YTD'!$J$65:$AB$65,0))</f>
        <v>0.74620000000000009</v>
      </c>
      <c r="W18" s="51">
        <f>INDEX('eskom production 2009-YTD'!$J$100:$AB$115,MATCH("majuba",'eskom production 2009-YTD'!$A$100:$A$115,0),MATCH(W$5,'eskom production 2009-YTD'!$J$65:$AB$65,0))</f>
        <v>0.75319999999999998</v>
      </c>
      <c r="X18" s="51">
        <f>INDEX('eskom production 2009-YTD'!$BC$100:$BN$114,MATCH($A18,'eskom production 2009-YTD'!$A$100:$A$114,0),MATCH(X$5,'eskom production 2009-YTD'!$BC$99:$BN$99,0))</f>
        <v>0.56643600000000005</v>
      </c>
      <c r="Y18" s="51">
        <f>INDEX('eskom production 2009-YTD'!$BC$100:$BN$114,MATCH($A18,'eskom production 2009-YTD'!$A$100:$A$114,0),MATCH(Y$5,'eskom production 2009-YTD'!$BC$99:$BN$99,0))</f>
        <v>0.54012499999999997</v>
      </c>
      <c r="Z18" s="51">
        <f>INDEX('eskom production 2009-YTD'!$BC$100:$BN$114,MATCH($A18,'eskom production 2009-YTD'!$A$100:$A$114,0),MATCH(Z$5,'eskom production 2009-YTD'!$BC$99:$BN$99,0))</f>
        <v>0.53542800000000013</v>
      </c>
      <c r="AA18" s="51">
        <f>INDEX('eskom production 2009-YTD'!$BC$100:$BN$114,MATCH($A18,'eskom production 2009-YTD'!$A$100:$A$114,0),MATCH(AA$5,'eskom production 2009-YTD'!$BC$99:$BN$99,0))</f>
        <v>0.46636449999999996</v>
      </c>
      <c r="AB18" s="51">
        <f>INDEX('eskom production 2009-YTD'!$BC$100:$BN$114,MATCH($A18,'eskom production 2009-YTD'!$A$100:$A$114,0),MATCH(AB$5,'eskom production 2009-YTD'!$BC$99:$BN$99,0))</f>
        <v>0.48721500000000012</v>
      </c>
      <c r="AC18" s="51">
        <f>INDEX('eskom production 2009-YTD'!$BC$100:$BN$114,MATCH($A18,'eskom production 2009-YTD'!$A$100:$A$114,0),MATCH(AC$5,'eskom production 2009-YTD'!$BC$99:$BN$99,0))</f>
        <v>0.47833450000000005</v>
      </c>
      <c r="AD18" s="51">
        <f>INDEX('eskom production 2009-YTD'!$BC$100:$BN$114,MATCH($A18,'eskom production 2009-YTD'!$A$100:$A$114,0),MATCH(AD$5,'eskom production 2009-YTD'!$BC$99:$BN$99,0))</f>
        <v>0.47275799999999996</v>
      </c>
      <c r="AE18" s="51">
        <f>INDEX('eskom production 2009-YTD'!$BC$100:$BN$114,MATCH($A18,'eskom production 2009-YTD'!$A$100:$A$114,0),MATCH(AE$5,'eskom production 2009-YTD'!$BC$99:$BN$99,0))</f>
        <v>0.4433125</v>
      </c>
      <c r="AF18" s="51">
        <f t="shared" si="7"/>
        <v>0.69799220781606408</v>
      </c>
      <c r="AG18" s="51">
        <f t="shared" si="8"/>
        <v>0.70408673600623517</v>
      </c>
      <c r="AH18" s="51">
        <f t="shared" si="9"/>
        <v>0.66853149971986336</v>
      </c>
      <c r="AI18" s="411">
        <v>0.05</v>
      </c>
      <c r="AJ18" s="51"/>
      <c r="AK18" s="37">
        <v>277.77800000000002</v>
      </c>
      <c r="AL18" s="51">
        <f t="shared" si="12"/>
        <v>96.25</v>
      </c>
      <c r="AM18" s="51">
        <f t="shared" si="13"/>
        <v>1E-3</v>
      </c>
      <c r="AN18" s="53">
        <f t="shared" si="14"/>
        <v>1.5E-3</v>
      </c>
      <c r="AO18" s="54">
        <f t="shared" si="15"/>
        <v>0.8675671912423536</v>
      </c>
      <c r="AP18" s="54">
        <f t="shared" si="16"/>
        <v>0.41576701555456169</v>
      </c>
      <c r="AQ18" s="51">
        <f t="shared" si="17"/>
        <v>0.02</v>
      </c>
      <c r="AR18" s="51">
        <f t="shared" si="18"/>
        <v>5.0000000000000001E-3</v>
      </c>
      <c r="AS18" s="51">
        <f t="shared" si="18"/>
        <v>4.5769644752755773E-2</v>
      </c>
      <c r="AT18" s="54">
        <f>INDEX('eskom production 2009-YTD'!$J$66:$AB$80,MATCH("majuba",'eskom production 2009-YTD'!$A$66:$A$80,0),MATCH(AT$5,'eskom production 2009-YTD'!$J$65:$Q$65,0))/1000-AT19</f>
        <v>1.8330000000000002</v>
      </c>
      <c r="AU18" s="54">
        <f>INDEX('eskom production 2009-YTD'!$J$66:$AB$80,MATCH("majuba",'eskom production 2009-YTD'!$A$66:$A$80,0),MATCH(AU$5,'eskom production 2009-YTD'!$J$65:$Q$65,0))/1000-AU19</f>
        <v>1.8330000000000002</v>
      </c>
      <c r="AV18" s="54">
        <f>DecomSchedule!P13</f>
        <v>1.8330000000000002</v>
      </c>
      <c r="AW18" s="54">
        <f>DecomSchedule!Q13</f>
        <v>1.8330000000000002</v>
      </c>
      <c r="AX18" s="54">
        <f>DecomSchedule!R13</f>
        <v>1.8330000000000002</v>
      </c>
      <c r="AY18" s="54">
        <f>DecomSchedule!S13</f>
        <v>1.8330000000000002</v>
      </c>
      <c r="AZ18" s="54">
        <f>DecomSchedule!T13</f>
        <v>1.8330000000000002</v>
      </c>
      <c r="BA18" s="54">
        <f>DecomSchedule!U13</f>
        <v>1.8330000000000002</v>
      </c>
      <c r="BB18" s="54">
        <f>DecomSchedule!V13</f>
        <v>1.8330000000000002</v>
      </c>
      <c r="BC18" s="54">
        <f>DecomSchedule!W13</f>
        <v>1.8330000000000002</v>
      </c>
      <c r="BD18" s="54">
        <f>DecomSchedule!X13</f>
        <v>1.8330000000000002</v>
      </c>
      <c r="BE18" s="54">
        <f>DecomSchedule!Y13</f>
        <v>1.8330000000000002</v>
      </c>
      <c r="BF18" s="54">
        <f>DecomSchedule!Z13</f>
        <v>1.8330000000000002</v>
      </c>
      <c r="BG18" s="54">
        <f>DecomSchedule!AA13</f>
        <v>1.8330000000000002</v>
      </c>
      <c r="BH18" s="54">
        <f>DecomSchedule!AB13</f>
        <v>1.8330000000000002</v>
      </c>
      <c r="BI18" s="54">
        <f>DecomSchedule!AC13</f>
        <v>1.8330000000000002</v>
      </c>
      <c r="BJ18" s="54">
        <f>DecomSchedule!AD13</f>
        <v>1.8330000000000002</v>
      </c>
      <c r="BK18" s="54">
        <f>DecomSchedule!AE13</f>
        <v>1.8330000000000002</v>
      </c>
      <c r="BL18" s="54">
        <f>DecomSchedule!AF13</f>
        <v>1.8330000000000002</v>
      </c>
      <c r="BM18" s="54">
        <f>DecomSchedule!AG13</f>
        <v>1.8330000000000002</v>
      </c>
      <c r="BN18" s="54">
        <f>DecomSchedule!AH13</f>
        <v>1.8330000000000002</v>
      </c>
      <c r="BO18" s="54">
        <f>DecomSchedule!AI13</f>
        <v>1.8330000000000002</v>
      </c>
      <c r="BP18" s="54">
        <f>DecomSchedule!AJ13</f>
        <v>1.8330000000000002</v>
      </c>
      <c r="BQ18" s="54">
        <f>DecomSchedule!AK13</f>
        <v>1.8330000000000002</v>
      </c>
      <c r="BR18" s="54">
        <f>DecomSchedule!AL13</f>
        <v>1.8330000000000002</v>
      </c>
      <c r="BS18" s="54">
        <f>DecomSchedule!AM13</f>
        <v>1.8330000000000002</v>
      </c>
      <c r="BT18" s="54">
        <f>DecomSchedule!AN13</f>
        <v>1.8330000000000002</v>
      </c>
      <c r="BU18" s="54">
        <f>INDEX(DecomSchedule!$AK13:$AT13,1,MATCH(BU$5,DecomSchedule!$AK$3:$AT$3,0))</f>
        <v>1.8330000000000002</v>
      </c>
      <c r="BV18" s="524">
        <f t="shared" ref="BV18:BW18" si="22">BU18</f>
        <v>1.8330000000000002</v>
      </c>
      <c r="BW18" s="524">
        <f t="shared" si="22"/>
        <v>1.8330000000000002</v>
      </c>
      <c r="BX18" s="54">
        <f>INDEX(DecomSchedule!$AK13:$AT13,1,MATCH(BX$5,DecomSchedule!$AK$3:$AT$3,0))</f>
        <v>0</v>
      </c>
      <c r="BY18" s="54">
        <f>INDEX(DecomSchedule!$AK13:$AT13,1,MATCH(BY$5,DecomSchedule!$AK$3:$AT$3,0))</f>
        <v>0</v>
      </c>
      <c r="BZ18" s="54">
        <f>INDEX(DecomSchedule!$AK13:$AT13,1,MATCH(BZ$5,DecomSchedule!$AK$3:$AT$3,0))</f>
        <v>0</v>
      </c>
      <c r="CA18" s="54">
        <v>0</v>
      </c>
      <c r="CB18" s="54">
        <v>0</v>
      </c>
      <c r="CC18" s="54">
        <v>0</v>
      </c>
    </row>
    <row r="19" spans="1:81" ht="11.25" customHeight="1" x14ac:dyDescent="0.2">
      <c r="A19" s="30" t="s">
        <v>1806</v>
      </c>
      <c r="B19" s="30" t="str">
        <f>Processes!B19</f>
        <v>ETCLEMAJW-E</v>
      </c>
      <c r="C19" s="30" t="str">
        <f>Processes!C19</f>
        <v>MAJUBA WET</v>
      </c>
      <c r="D19" s="43" t="s">
        <v>321</v>
      </c>
      <c r="E19" s="30" t="s">
        <v>129</v>
      </c>
      <c r="F19" s="37" t="str">
        <f t="shared" si="11"/>
        <v>PWRCLEMAJU</v>
      </c>
      <c r="G19" s="39"/>
      <c r="H19" s="41">
        <v>0.31</v>
      </c>
      <c r="I19" s="39"/>
      <c r="J19" s="39">
        <f>INDEX(ElecBY!$S$82:$S$103,MATCH(B19,ElecBY!$D$82:$D$103,0))</f>
        <v>13.031476138327839</v>
      </c>
      <c r="K19" s="39">
        <f>INDEX(ElecBY!$O$82:$O$103,MATCH(B19,ElecBY!$D$82:$D$103,0))</f>
        <v>543.03708177844851</v>
      </c>
      <c r="L19" s="39">
        <f>INDEX(ElecBY!$K$82:$K$103,MATCH(B19,ElecBY!$D$82:$D$103,0))</f>
        <v>12066.046460195865</v>
      </c>
      <c r="M19" s="49">
        <v>30</v>
      </c>
      <c r="N19" s="30">
        <v>31.536000000000001</v>
      </c>
      <c r="O19" s="30">
        <v>1</v>
      </c>
      <c r="P19" s="37">
        <v>5</v>
      </c>
      <c r="Q19" s="37">
        <v>0</v>
      </c>
      <c r="R19" s="51">
        <f>R18</f>
        <v>0.69869089871477885</v>
      </c>
      <c r="S19" s="51">
        <f>R19*HistoricalDispatch!$B$5/HistoricalDispatch!$B$4</f>
        <v>0.70479152753376895</v>
      </c>
      <c r="T19" s="51">
        <f>S19*HistoricalDispatch!$B$6/HistoricalDispatch!$B$5</f>
        <v>0.67528434315137709</v>
      </c>
      <c r="U19" s="51">
        <f t="shared" ref="U19:W19" si="23">U18</f>
        <v>0.73049999999999993</v>
      </c>
      <c r="V19" s="51">
        <f t="shared" si="23"/>
        <v>0.74620000000000009</v>
      </c>
      <c r="W19" s="51">
        <f t="shared" si="23"/>
        <v>0.75319999999999998</v>
      </c>
      <c r="X19" s="51">
        <f>INDEX('eskom production 2009-YTD'!$BC$100:$BN$114,MATCH($A19,'eskom production 2009-YTD'!$A$100:$A$114,0),MATCH(X$5,'eskom production 2009-YTD'!$BC$99:$BN$99,0))</f>
        <v>0.56643600000000005</v>
      </c>
      <c r="Y19" s="51">
        <f>INDEX('eskom production 2009-YTD'!$BC$100:$BN$114,MATCH($A19,'eskom production 2009-YTD'!$A$100:$A$114,0),MATCH(Y$5,'eskom production 2009-YTD'!$BC$99:$BN$99,0))</f>
        <v>0.54012499999999997</v>
      </c>
      <c r="Z19" s="51">
        <f>INDEX('eskom production 2009-YTD'!$BC$100:$BN$114,MATCH($A19,'eskom production 2009-YTD'!$A$100:$A$114,0),MATCH(Z$5,'eskom production 2009-YTD'!$BC$99:$BN$99,0))</f>
        <v>0.53542800000000013</v>
      </c>
      <c r="AA19" s="51">
        <f>INDEX('eskom production 2009-YTD'!$BC$100:$BN$114,MATCH($A19,'eskom production 2009-YTD'!$A$100:$A$114,0),MATCH(AA$5,'eskom production 2009-YTD'!$BC$99:$BN$99,0))</f>
        <v>0.46636449999999996</v>
      </c>
      <c r="AB19" s="51">
        <f>INDEX('eskom production 2009-YTD'!$BC$100:$BN$114,MATCH($A19,'eskom production 2009-YTD'!$A$100:$A$114,0),MATCH(AB$5,'eskom production 2009-YTD'!$BC$99:$BN$99,0))</f>
        <v>0.48721500000000012</v>
      </c>
      <c r="AC19" s="51">
        <f>INDEX('eskom production 2009-YTD'!$BC$100:$BN$114,MATCH($A19,'eskom production 2009-YTD'!$A$100:$A$114,0),MATCH(AC$5,'eskom production 2009-YTD'!$BC$99:$BN$99,0))</f>
        <v>0.47833450000000005</v>
      </c>
      <c r="AD19" s="51">
        <f>INDEX('eskom production 2009-YTD'!$BC$100:$BN$114,MATCH($A19,'eskom production 2009-YTD'!$A$100:$A$114,0),MATCH(AD$5,'eskom production 2009-YTD'!$BC$99:$BN$99,0))</f>
        <v>0.47275799999999996</v>
      </c>
      <c r="AE19" s="51">
        <f>INDEX('eskom production 2009-YTD'!$BC$100:$BN$114,MATCH($A19,'eskom production 2009-YTD'!$A$100:$A$114,0),MATCH(AE$5,'eskom production 2009-YTD'!$BC$99:$BN$99,0))</f>
        <v>0.4433125</v>
      </c>
      <c r="AF19" s="51">
        <f t="shared" si="7"/>
        <v>0.69799220781606408</v>
      </c>
      <c r="AG19" s="51">
        <f t="shared" si="8"/>
        <v>0.70408673600623517</v>
      </c>
      <c r="AH19" s="51">
        <f t="shared" si="9"/>
        <v>0.66853149971986336</v>
      </c>
      <c r="AI19" s="411">
        <v>0.05</v>
      </c>
      <c r="AJ19" s="51"/>
      <c r="AK19" s="37">
        <v>277.77800000000002</v>
      </c>
      <c r="AL19" s="51">
        <f t="shared" si="12"/>
        <v>96.25</v>
      </c>
      <c r="AM19" s="51">
        <f t="shared" si="13"/>
        <v>1E-3</v>
      </c>
      <c r="AN19" s="53">
        <f t="shared" si="14"/>
        <v>1.5E-3</v>
      </c>
      <c r="AO19" s="54">
        <f t="shared" si="15"/>
        <v>0.8675671912423536</v>
      </c>
      <c r="AP19" s="54">
        <f t="shared" si="16"/>
        <v>0.41576701555456169</v>
      </c>
      <c r="AQ19" s="51">
        <f t="shared" si="17"/>
        <v>0.02</v>
      </c>
      <c r="AR19" s="51">
        <f t="shared" si="18"/>
        <v>5.0000000000000001E-3</v>
      </c>
      <c r="AS19" s="51">
        <f t="shared" si="18"/>
        <v>4.5769644752755773E-2</v>
      </c>
      <c r="AT19" s="54">
        <v>2.0099999999999998</v>
      </c>
      <c r="AU19" s="54">
        <v>2.0099999999999998</v>
      </c>
      <c r="AV19" s="54">
        <f>DecomSchedule!P14</f>
        <v>2.0099999999999998</v>
      </c>
      <c r="AW19" s="54">
        <f>DecomSchedule!Q14</f>
        <v>2.0099999999999998</v>
      </c>
      <c r="AX19" s="54">
        <f>DecomSchedule!R14</f>
        <v>2.0099999999999998</v>
      </c>
      <c r="AY19" s="54">
        <f>DecomSchedule!S14</f>
        <v>2.0099999999999998</v>
      </c>
      <c r="AZ19" s="54">
        <f>DecomSchedule!T14</f>
        <v>2.0099999999999998</v>
      </c>
      <c r="BA19" s="54">
        <f>DecomSchedule!U14</f>
        <v>2.0099999999999998</v>
      </c>
      <c r="BB19" s="54">
        <f>DecomSchedule!V14</f>
        <v>2.0099999999999998</v>
      </c>
      <c r="BC19" s="54">
        <f>DecomSchedule!W14</f>
        <v>2.0099999999999998</v>
      </c>
      <c r="BD19" s="54">
        <f>DecomSchedule!X14</f>
        <v>2.0099999999999998</v>
      </c>
      <c r="BE19" s="54">
        <f>DecomSchedule!Y14</f>
        <v>2.0099999999999998</v>
      </c>
      <c r="BF19" s="54">
        <f>DecomSchedule!Z14</f>
        <v>2.0099999999999998</v>
      </c>
      <c r="BG19" s="54">
        <f>DecomSchedule!AA14</f>
        <v>2.0099999999999998</v>
      </c>
      <c r="BH19" s="54">
        <f>DecomSchedule!AB14</f>
        <v>2.0099999999999998</v>
      </c>
      <c r="BI19" s="54">
        <f>DecomSchedule!AC14</f>
        <v>2.0099999999999998</v>
      </c>
      <c r="BJ19" s="54">
        <f>DecomSchedule!AD14</f>
        <v>2.0099999999999998</v>
      </c>
      <c r="BK19" s="54">
        <f>DecomSchedule!AE14</f>
        <v>2.0099999999999998</v>
      </c>
      <c r="BL19" s="54">
        <f>DecomSchedule!AF14</f>
        <v>2.0099999999999998</v>
      </c>
      <c r="BM19" s="54">
        <f>DecomSchedule!AG14</f>
        <v>2.0099999999999998</v>
      </c>
      <c r="BN19" s="54">
        <f>DecomSchedule!AH14</f>
        <v>2.0099999999999998</v>
      </c>
      <c r="BO19" s="54">
        <f>DecomSchedule!AI14</f>
        <v>2.0099999999999998</v>
      </c>
      <c r="BP19" s="54">
        <f>DecomSchedule!AJ14</f>
        <v>2.0099999999999998</v>
      </c>
      <c r="BQ19" s="54">
        <f>DecomSchedule!AK14</f>
        <v>2.0099999999999998</v>
      </c>
      <c r="BR19" s="54">
        <f>DecomSchedule!AL14</f>
        <v>2.0099999999999998</v>
      </c>
      <c r="BS19" s="54">
        <f>DecomSchedule!AM14</f>
        <v>2.0099999999999998</v>
      </c>
      <c r="BT19" s="54">
        <f>DecomSchedule!AN14</f>
        <v>2.0099999999999998</v>
      </c>
      <c r="BU19" s="54">
        <f>INDEX(DecomSchedule!$AK14:$AT14,1,MATCH(BU$5,DecomSchedule!$AK$3:$AT$3,0))</f>
        <v>2.0099999999999998</v>
      </c>
      <c r="BV19" s="54">
        <f>INDEX(DecomSchedule!$AK14:$AT14,1,MATCH(BV$5,DecomSchedule!$AK$3:$AT$3,0))</f>
        <v>2.0099999999999998</v>
      </c>
      <c r="BW19" s="54">
        <f>INDEX(DecomSchedule!$AK14:$AT14,1,MATCH(BW$5,DecomSchedule!$AK$3:$AT$3,0))</f>
        <v>2.0099999999999998</v>
      </c>
      <c r="BX19" s="54">
        <f>INDEX(DecomSchedule!$AK14:$AT14,1,MATCH(BX$5,DecomSchedule!$AK$3:$AT$3,0))</f>
        <v>2.0099999999999998</v>
      </c>
      <c r="BY19" s="524">
        <f t="shared" ref="BY19:BZ19" si="24">BX19</f>
        <v>2.0099999999999998</v>
      </c>
      <c r="BZ19" s="524">
        <f t="shared" si="24"/>
        <v>2.0099999999999998</v>
      </c>
      <c r="CA19" s="54">
        <v>0</v>
      </c>
      <c r="CB19" s="54">
        <v>0</v>
      </c>
      <c r="CC19" s="54">
        <v>0</v>
      </c>
    </row>
    <row r="20" spans="1:81" ht="11.25" customHeight="1" x14ac:dyDescent="0.2">
      <c r="A20" s="30" t="str">
        <f t="shared" si="10"/>
        <v>MATIMBA</v>
      </c>
      <c r="B20" s="30" t="str">
        <f>Processes!B20</f>
        <v>ETCLEMATI-E</v>
      </c>
      <c r="C20" s="30" t="str">
        <f>Processes!C20</f>
        <v>MATIMBA</v>
      </c>
      <c r="D20" s="43" t="str">
        <f>"PWR"&amp;MID(B20,3,7)</f>
        <v>PWRCLEMATI</v>
      </c>
      <c r="E20" s="30" t="s">
        <v>129</v>
      </c>
      <c r="F20" s="37" t="str">
        <f t="shared" si="11"/>
        <v>PWRCLEMATI</v>
      </c>
      <c r="G20" s="39"/>
      <c r="H20" s="41">
        <f>INDEX('eskom production 2009-YTD'!$Q$35:$Q$62,MATCH(C20,'eskom production 2009-YTD'!$A$35:$A$62,0))</f>
        <v>0.34000258749678802</v>
      </c>
      <c r="I20" s="39"/>
      <c r="J20" s="39">
        <f>INDEX(ElecBY!$S$82:$S$103,MATCH(B20,ElecBY!$D$82:$D$103,0))</f>
        <v>13.031476138327839</v>
      </c>
      <c r="K20" s="39">
        <f>INDEX(ElecBY!$O$82:$O$103,MATCH(B20,ElecBY!$D$82:$D$103,0))</f>
        <v>543.03708177844862</v>
      </c>
      <c r="L20" s="39">
        <f>INDEX(ElecBY!$K$82:$K$103,MATCH(B20,ElecBY!$D$82:$D$103,0))</f>
        <v>12066.046460195867</v>
      </c>
      <c r="M20" s="49">
        <v>30</v>
      </c>
      <c r="N20" s="30">
        <v>31.536000000000001</v>
      </c>
      <c r="O20" s="30">
        <v>1</v>
      </c>
      <c r="P20" s="37">
        <v>5</v>
      </c>
      <c r="Q20" s="37">
        <v>0</v>
      </c>
      <c r="R20" s="51">
        <f>INDEX('eskom production 2009-YTD'!$J$100:$AB$115,MATCH($C20,'eskom production 2009-YTD'!$A$100:$A$115,0),MATCH(R$5,'eskom production 2009-YTD'!$J$65:$AB$65,0))</f>
        <v>0.8094138159760893</v>
      </c>
      <c r="S20" s="51">
        <f>R20*HistoricalDispatch!$B$5/HistoricalDispatch!$B$4</f>
        <v>0.8164812234109301</v>
      </c>
      <c r="T20" s="51">
        <f>S20*HistoricalDispatch!$B$6/HistoricalDispatch!$B$5</f>
        <v>0.78229797763859366</v>
      </c>
      <c r="U20" s="51">
        <f>INDEX('eskom production 2009-YTD'!$J$100:$AB$115,MATCH($C20,'eskom production 2009-YTD'!$A$100:$A$115,0),MATCH(U$5,'eskom production 2009-YTD'!$J$65:$AB$65,0))</f>
        <v>0.82750000000000001</v>
      </c>
      <c r="V20" s="51">
        <f>INDEX('eskom production 2009-YTD'!$J$100:$AB$115,MATCH($C20,'eskom production 2009-YTD'!$A$100:$A$115,0),MATCH(V$5,'eskom production 2009-YTD'!$J$65:$AB$65,0))</f>
        <v>0.8014</v>
      </c>
      <c r="W20" s="51">
        <f>INDEX('eskom production 2009-YTD'!$J$100:$AB$115,MATCH($C20,'eskom production 2009-YTD'!$A$100:$A$115,0),MATCH(W$5,'eskom production 2009-YTD'!$J$65:$AB$65,0))</f>
        <v>0.81640000000000001</v>
      </c>
      <c r="X20" s="51">
        <f>INDEX('eskom production 2009-YTD'!$BC$100:$BN$114,MATCH($A20,'eskom production 2009-YTD'!$A$100:$A$114,0),MATCH(X$5,'eskom production 2009-YTD'!$BC$99:$BN$99,0))</f>
        <v>0.63273600000000008</v>
      </c>
      <c r="Y20" s="51">
        <f>INDEX('eskom production 2009-YTD'!$BC$100:$BN$114,MATCH($A20,'eskom production 2009-YTD'!$A$100:$A$114,0),MATCH(Y$5,'eskom production 2009-YTD'!$BC$99:$BN$99,0))</f>
        <v>0.5887</v>
      </c>
      <c r="Z20" s="51">
        <f>INDEX('eskom production 2009-YTD'!$BC$100:$BN$114,MATCH($A20,'eskom production 2009-YTD'!$A$100:$A$114,0),MATCH(Z$5,'eskom production 2009-YTD'!$BC$99:$BN$99,0))</f>
        <v>0.54467150000000009</v>
      </c>
      <c r="AA20" s="51">
        <f>INDEX('eskom production 2009-YTD'!$BC$100:$BN$114,MATCH($A20,'eskom production 2009-YTD'!$A$100:$A$114,0),MATCH(AA$5,'eskom production 2009-YTD'!$BC$99:$BN$99,0))</f>
        <v>0.52767750000000002</v>
      </c>
      <c r="AB20" s="51">
        <f>INDEX('eskom production 2009-YTD'!$BC$100:$BN$114,MATCH($A20,'eskom production 2009-YTD'!$A$100:$A$114,0),MATCH(AB$5,'eskom production 2009-YTD'!$BC$99:$BN$99,0))</f>
        <v>0.53183250000000004</v>
      </c>
      <c r="AC20" s="51">
        <f>INDEX('eskom production 2009-YTD'!$BC$100:$BN$114,MATCH($A20,'eskom production 2009-YTD'!$A$100:$A$114,0),MATCH(AC$5,'eskom production 2009-YTD'!$BC$99:$BN$99,0))</f>
        <v>0.50839250000000002</v>
      </c>
      <c r="AD20" s="51">
        <f>INDEX('eskom production 2009-YTD'!$BC$100:$BN$114,MATCH($A20,'eskom production 2009-YTD'!$A$100:$A$114,0),MATCH(AD$5,'eskom production 2009-YTD'!$BC$99:$BN$99,0))</f>
        <v>0.52872600000000003</v>
      </c>
      <c r="AE20" s="51">
        <f>INDEX('eskom production 2009-YTD'!$BC$100:$BN$114,MATCH($A20,'eskom production 2009-YTD'!$A$100:$A$114,0),MATCH(AE$5,'eskom production 2009-YTD'!$BC$99:$BN$99,0))</f>
        <v>0.49631249999999993</v>
      </c>
      <c r="AF20" s="51">
        <f t="shared" si="7"/>
        <v>0.8086044021601132</v>
      </c>
      <c r="AG20" s="51">
        <f t="shared" si="8"/>
        <v>0.81566474218751917</v>
      </c>
      <c r="AH20" s="51">
        <f t="shared" si="9"/>
        <v>0.77447499786220775</v>
      </c>
      <c r="AI20" s="411">
        <v>0.05</v>
      </c>
      <c r="AJ20" s="51"/>
      <c r="AK20" s="37">
        <v>277.77800000000002</v>
      </c>
      <c r="AL20" s="51">
        <f t="shared" si="12"/>
        <v>96.25</v>
      </c>
      <c r="AM20" s="51">
        <f t="shared" si="13"/>
        <v>1E-3</v>
      </c>
      <c r="AN20" s="53">
        <f t="shared" si="14"/>
        <v>1.5E-3</v>
      </c>
      <c r="AO20" s="54">
        <f t="shared" si="15"/>
        <v>0.8675671912423536</v>
      </c>
      <c r="AP20" s="54">
        <f t="shared" si="16"/>
        <v>0.41576701555456169</v>
      </c>
      <c r="AQ20" s="51">
        <f t="shared" si="17"/>
        <v>0.02</v>
      </c>
      <c r="AR20" s="51">
        <f t="shared" si="18"/>
        <v>5.0000000000000001E-3</v>
      </c>
      <c r="AS20" s="51">
        <f t="shared" si="18"/>
        <v>4.5769644752755773E-2</v>
      </c>
      <c r="AT20" s="54">
        <f>INDEX('eskom production 2009-YTD'!$J$66:$AB$80,MATCH($C20,'eskom production 2009-YTD'!$A$66:$A$80,0),MATCH(AT$5,'eskom production 2009-YTD'!$J$65:$Q$65,0))/1000</f>
        <v>3.69</v>
      </c>
      <c r="AU20" s="54">
        <f>INDEX('eskom production 2009-YTD'!$J$66:$AB$80,MATCH($C20,'eskom production 2009-YTD'!$A$66:$A$80,0),MATCH(AU$5,'eskom production 2009-YTD'!$J$65:$Q$65,0))/1000</f>
        <v>3.69</v>
      </c>
      <c r="AV20" s="54">
        <f>DecomSchedule!P15</f>
        <v>3.69</v>
      </c>
      <c r="AW20" s="54">
        <f>DecomSchedule!Q15</f>
        <v>3.69</v>
      </c>
      <c r="AX20" s="54">
        <f>DecomSchedule!R15</f>
        <v>3.69</v>
      </c>
      <c r="AY20" s="54">
        <f>DecomSchedule!S15</f>
        <v>3.69</v>
      </c>
      <c r="AZ20" s="54">
        <f>DecomSchedule!T15</f>
        <v>3.69</v>
      </c>
      <c r="BA20" s="54">
        <f>DecomSchedule!U15</f>
        <v>3.69</v>
      </c>
      <c r="BB20" s="54">
        <f>DecomSchedule!V15</f>
        <v>3.69</v>
      </c>
      <c r="BC20" s="54">
        <f>DecomSchedule!W15</f>
        <v>3.69</v>
      </c>
      <c r="BD20" s="54">
        <f>DecomSchedule!X15</f>
        <v>3.69</v>
      </c>
      <c r="BE20" s="54">
        <f>DecomSchedule!Y15</f>
        <v>3.69</v>
      </c>
      <c r="BF20" s="54">
        <f>DecomSchedule!Z15</f>
        <v>3.69</v>
      </c>
      <c r="BG20" s="54">
        <f>DecomSchedule!AA15</f>
        <v>3.69</v>
      </c>
      <c r="BH20" s="54">
        <f>DecomSchedule!AB15</f>
        <v>3.69</v>
      </c>
      <c r="BI20" s="54">
        <f>DecomSchedule!AC15</f>
        <v>3.69</v>
      </c>
      <c r="BJ20" s="54">
        <f>DecomSchedule!AD15</f>
        <v>3.69</v>
      </c>
      <c r="BK20" s="54">
        <f>DecomSchedule!AE15</f>
        <v>3.69</v>
      </c>
      <c r="BL20" s="54">
        <f>DecomSchedule!AF15</f>
        <v>3.69</v>
      </c>
      <c r="BM20" s="54">
        <f>DecomSchedule!AG15</f>
        <v>3.69</v>
      </c>
      <c r="BN20" s="524">
        <f>BM20</f>
        <v>3.69</v>
      </c>
      <c r="BO20" s="524">
        <f t="shared" ref="BO20:BQ20" si="25">BN20</f>
        <v>3.69</v>
      </c>
      <c r="BP20" s="524">
        <f t="shared" si="25"/>
        <v>3.69</v>
      </c>
      <c r="BQ20" s="524">
        <f t="shared" si="25"/>
        <v>3.69</v>
      </c>
      <c r="BR20" s="54">
        <f>DecomSchedule!AL15</f>
        <v>0</v>
      </c>
      <c r="BS20" s="54">
        <f>DecomSchedule!AM15</f>
        <v>0</v>
      </c>
      <c r="BT20" s="54">
        <f>DecomSchedule!AN15</f>
        <v>0</v>
      </c>
      <c r="BU20" s="54">
        <f>INDEX(DecomSchedule!$AK15:$AT15,1,MATCH(BU$5,DecomSchedule!$AK$3:$AT$3,0))</f>
        <v>0</v>
      </c>
      <c r="BV20" s="54">
        <f>INDEX(DecomSchedule!$AK15:$AT15,1,MATCH(BV$5,DecomSchedule!$AK$3:$AT$3,0))</f>
        <v>0</v>
      </c>
      <c r="BW20" s="54">
        <f>INDEX(DecomSchedule!$AK15:$AT15,1,MATCH(BW$5,DecomSchedule!$AK$3:$AT$3,0))</f>
        <v>0</v>
      </c>
      <c r="BX20" s="54">
        <f>INDEX(DecomSchedule!$AK15:$AT15,1,MATCH(BX$5,DecomSchedule!$AK$3:$AT$3,0))</f>
        <v>0</v>
      </c>
      <c r="BY20" s="54">
        <f>INDEX(DecomSchedule!$AK15:$AT15,1,MATCH(BY$5,DecomSchedule!$AK$3:$AT$3,0))</f>
        <v>0</v>
      </c>
      <c r="BZ20" s="54">
        <f>INDEX(DecomSchedule!$AK15:$AT15,1,MATCH(BZ$5,DecomSchedule!$AK$3:$AT$3,0))</f>
        <v>0</v>
      </c>
      <c r="CA20" s="54">
        <v>0</v>
      </c>
      <c r="CB20" s="54">
        <v>0</v>
      </c>
      <c r="CC20" s="54">
        <v>0</v>
      </c>
    </row>
    <row r="21" spans="1:81" ht="11.25" customHeight="1" x14ac:dyDescent="0.2">
      <c r="A21" s="30" t="str">
        <f t="shared" si="10"/>
        <v>MATLA</v>
      </c>
      <c r="B21" s="30" t="str">
        <f>Processes!B21</f>
        <v>ETCLEMATL-E</v>
      </c>
      <c r="C21" s="30" t="str">
        <f>Processes!C21</f>
        <v>MATLA</v>
      </c>
      <c r="D21" s="43" t="str">
        <f>"PWR"&amp;MID(B21,3,7)</f>
        <v>PWRCLEMATL</v>
      </c>
      <c r="E21" s="30" t="s">
        <v>129</v>
      </c>
      <c r="F21" s="37" t="str">
        <f t="shared" si="11"/>
        <v>PWRCLEMATL</v>
      </c>
      <c r="G21" s="39"/>
      <c r="H21" s="41">
        <f>INDEX('eskom production 2009-YTD'!$Q$35:$Q$62,MATCH(C21,'eskom production 2009-YTD'!$A$35:$A$62,0))</f>
        <v>0.33160382650844367</v>
      </c>
      <c r="I21" s="39"/>
      <c r="J21" s="39">
        <f>INDEX(ElecBY!$S$82:$S$103,MATCH(B21,ElecBY!$D$82:$D$103,0))</f>
        <v>13.031476138327839</v>
      </c>
      <c r="K21" s="39">
        <f>INDEX(ElecBY!$O$82:$O$103,MATCH(B21,ElecBY!$D$82:$D$103,0))</f>
        <v>543.03708177844851</v>
      </c>
      <c r="L21" s="39">
        <f>INDEX(ElecBY!$K$82:$K$103,MATCH(B21,ElecBY!$D$82:$D$103,0))</f>
        <v>12066.046460195865</v>
      </c>
      <c r="M21" s="49">
        <v>30</v>
      </c>
      <c r="N21" s="30">
        <v>31.536000000000001</v>
      </c>
      <c r="O21" s="30">
        <v>1</v>
      </c>
      <c r="P21" s="37">
        <v>5</v>
      </c>
      <c r="Q21" s="37">
        <v>0</v>
      </c>
      <c r="R21" s="51">
        <f>INDEX('eskom production 2009-YTD'!$J$100:$AB$115,MATCH($C21,'eskom production 2009-YTD'!$A$100:$A$115,0),MATCH(R$5,'eskom production 2009-YTD'!$J$65:$AB$65,0))</f>
        <v>0.64697127709025493</v>
      </c>
      <c r="S21" s="51">
        <f>R21*HistoricalDispatch!$B$5/HistoricalDispatch!$B$4</f>
        <v>0.65262031534928455</v>
      </c>
      <c r="T21" s="51">
        <f>S21*HistoricalDispatch!$B$6/HistoricalDispatch!$B$5</f>
        <v>0.62529735923474272</v>
      </c>
      <c r="U21" s="51">
        <f>INDEX('eskom production 2009-YTD'!$J$100:$AB$115,MATCH($C21,'eskom production 2009-YTD'!$A$100:$A$115,0),MATCH(U$5,'eskom production 2009-YTD'!$J$65:$AB$65,0))</f>
        <v>0.67299999999999993</v>
      </c>
      <c r="V21" s="51">
        <f>INDEX('eskom production 2009-YTD'!$J$100:$AB$115,MATCH($C21,'eskom production 2009-YTD'!$A$100:$A$115,0),MATCH(V$5,'eskom production 2009-YTD'!$J$65:$AB$65,0))</f>
        <v>0.6876000000000001</v>
      </c>
      <c r="W21" s="51">
        <f>INDEX('eskom production 2009-YTD'!$J$100:$AB$115,MATCH($C21,'eskom production 2009-YTD'!$A$100:$A$115,0),MATCH(W$5,'eskom production 2009-YTD'!$J$65:$AB$65,0))</f>
        <v>0.70739999999999992</v>
      </c>
      <c r="X21" s="51">
        <f>INDEX('eskom production 2009-YTD'!$BC$100:$BN$114,MATCH($A21,'eskom production 2009-YTD'!$A$100:$A$114,0),MATCH(X$5,'eskom production 2009-YTD'!$BC$99:$BN$99,0))</f>
        <v>0.553566</v>
      </c>
      <c r="Y21" s="51">
        <f>INDEX('eskom production 2009-YTD'!$BC$100:$BN$114,MATCH($A21,'eskom production 2009-YTD'!$A$100:$A$114,0),MATCH(Y$5,'eskom production 2009-YTD'!$BC$99:$BN$99,0))</f>
        <v>0.50380249999999993</v>
      </c>
      <c r="Z21" s="51">
        <f>INDEX('eskom production 2009-YTD'!$BC$100:$BN$114,MATCH($A21,'eskom production 2009-YTD'!$A$100:$A$114,0),MATCH(Z$5,'eskom production 2009-YTD'!$BC$99:$BN$99,0))</f>
        <v>0.49018350000000005</v>
      </c>
      <c r="AA21" s="51">
        <f>INDEX('eskom production 2009-YTD'!$BC$100:$BN$114,MATCH($A21,'eskom production 2009-YTD'!$A$100:$A$114,0),MATCH(AA$5,'eskom production 2009-YTD'!$BC$99:$BN$99,0))</f>
        <v>0.46323900000000001</v>
      </c>
      <c r="AB21" s="51">
        <f>INDEX('eskom production 2009-YTD'!$BC$100:$BN$114,MATCH($A21,'eskom production 2009-YTD'!$A$100:$A$114,0),MATCH(AB$5,'eskom production 2009-YTD'!$BC$99:$BN$99,0))</f>
        <v>0.46642499999999998</v>
      </c>
      <c r="AC21" s="51">
        <f>INDEX('eskom production 2009-YTD'!$BC$100:$BN$114,MATCH($A21,'eskom production 2009-YTD'!$A$100:$A$114,0),MATCH(AC$5,'eskom production 2009-YTD'!$BC$99:$BN$99,0))</f>
        <v>0.50513399999999997</v>
      </c>
      <c r="AD21" s="51">
        <f>INDEX('eskom production 2009-YTD'!$BC$100:$BN$114,MATCH($A21,'eskom production 2009-YTD'!$A$100:$A$114,0),MATCH(AD$5,'eskom production 2009-YTD'!$BC$99:$BN$99,0))</f>
        <v>0.46444200000000002</v>
      </c>
      <c r="AE21" s="51">
        <f>INDEX('eskom production 2009-YTD'!$BC$100:$BN$114,MATCH($A21,'eskom production 2009-YTD'!$A$100:$A$114,0),MATCH(AE$5,'eskom production 2009-YTD'!$BC$99:$BN$99,0))</f>
        <v>0.43543749999999998</v>
      </c>
      <c r="AF21" s="51">
        <f t="shared" si="7"/>
        <v>0.64632430581316469</v>
      </c>
      <c r="AG21" s="51">
        <f t="shared" si="8"/>
        <v>0.65196769503393526</v>
      </c>
      <c r="AH21" s="51">
        <f t="shared" si="9"/>
        <v>0.61904438564239528</v>
      </c>
      <c r="AI21" s="411">
        <v>0.05</v>
      </c>
      <c r="AJ21" s="51"/>
      <c r="AK21" s="37">
        <v>277.77800000000002</v>
      </c>
      <c r="AL21" s="51">
        <f t="shared" si="12"/>
        <v>96.25</v>
      </c>
      <c r="AM21" s="51">
        <f t="shared" si="13"/>
        <v>1E-3</v>
      </c>
      <c r="AN21" s="53">
        <f t="shared" si="14"/>
        <v>1.5E-3</v>
      </c>
      <c r="AO21" s="54">
        <f t="shared" si="15"/>
        <v>0.8675671912423536</v>
      </c>
      <c r="AP21" s="54">
        <f t="shared" si="16"/>
        <v>0.41576701555456169</v>
      </c>
      <c r="AQ21" s="51">
        <f t="shared" si="17"/>
        <v>0.02</v>
      </c>
      <c r="AR21" s="51">
        <f t="shared" si="18"/>
        <v>5.0000000000000001E-3</v>
      </c>
      <c r="AS21" s="51">
        <f t="shared" si="18"/>
        <v>4.5769644752755773E-2</v>
      </c>
      <c r="AT21" s="54">
        <f>INDEX('eskom production 2009-YTD'!$J$66:$AB$80,MATCH($C21,'eskom production 2009-YTD'!$A$66:$A$80,0),MATCH(AT$5,'eskom production 2009-YTD'!$J$65:$Q$65,0))/1000</f>
        <v>3.45</v>
      </c>
      <c r="AU21" s="54">
        <f>INDEX('eskom production 2009-YTD'!$J$66:$AB$80,MATCH($C21,'eskom production 2009-YTD'!$A$66:$A$80,0),MATCH(AU$5,'eskom production 2009-YTD'!$J$65:$Q$65,0))/1000</f>
        <v>3.45</v>
      </c>
      <c r="AV21" s="54">
        <f>DecomSchedule!P16</f>
        <v>3.45</v>
      </c>
      <c r="AW21" s="54">
        <f>DecomSchedule!Q16</f>
        <v>3.45</v>
      </c>
      <c r="AX21" s="54">
        <f>DecomSchedule!R16</f>
        <v>3.45</v>
      </c>
      <c r="AY21" s="54">
        <f>DecomSchedule!S16</f>
        <v>3.45</v>
      </c>
      <c r="AZ21" s="54">
        <f>DecomSchedule!T16</f>
        <v>3.45</v>
      </c>
      <c r="BA21" s="54">
        <f>DecomSchedule!U16</f>
        <v>3.45</v>
      </c>
      <c r="BB21" s="54">
        <f>DecomSchedule!V16</f>
        <v>3.45</v>
      </c>
      <c r="BC21" s="54">
        <f>DecomSchedule!W16</f>
        <v>3.45</v>
      </c>
      <c r="BD21" s="54">
        <f>DecomSchedule!X16</f>
        <v>3.45</v>
      </c>
      <c r="BE21" s="54">
        <f>DecomSchedule!Y16</f>
        <v>3.45</v>
      </c>
      <c r="BF21" s="54">
        <f>DecomSchedule!Z16</f>
        <v>2.875</v>
      </c>
      <c r="BG21" s="54">
        <f>DecomSchedule!AA16</f>
        <v>1.7249999999999999</v>
      </c>
      <c r="BH21" s="54">
        <f>DecomSchedule!AB16</f>
        <v>1.1499999999999999</v>
      </c>
      <c r="BI21" s="54">
        <f>DecomSchedule!AC16</f>
        <v>0.57499999999999984</v>
      </c>
      <c r="BJ21" s="54">
        <f>DecomSchedule!AD16</f>
        <v>0</v>
      </c>
      <c r="BK21" s="54">
        <f>DecomSchedule!AE16</f>
        <v>0</v>
      </c>
      <c r="BL21" s="54">
        <f>DecomSchedule!AF16</f>
        <v>0</v>
      </c>
      <c r="BM21" s="54">
        <f>DecomSchedule!AG16</f>
        <v>0</v>
      </c>
      <c r="BN21" s="54">
        <f>DecomSchedule!AH16</f>
        <v>0</v>
      </c>
      <c r="BO21" s="54">
        <f>DecomSchedule!AI16</f>
        <v>0</v>
      </c>
      <c r="BP21" s="54">
        <f>DecomSchedule!AJ16</f>
        <v>0</v>
      </c>
      <c r="BQ21" s="54">
        <f>DecomSchedule!AK16</f>
        <v>0</v>
      </c>
      <c r="BR21" s="54">
        <f>DecomSchedule!AL16</f>
        <v>0</v>
      </c>
      <c r="BS21" s="54">
        <f>DecomSchedule!AM16</f>
        <v>0</v>
      </c>
      <c r="BT21" s="54">
        <f>DecomSchedule!AN16</f>
        <v>0</v>
      </c>
      <c r="BU21" s="54">
        <f>INDEX(DecomSchedule!$AK16:$AT16,1,MATCH(BU$5,DecomSchedule!$AK$3:$AT$3,0))</f>
        <v>0</v>
      </c>
      <c r="BV21" s="54">
        <f>INDEX(DecomSchedule!$AK16:$AT16,1,MATCH(BV$5,DecomSchedule!$AK$3:$AT$3,0))</f>
        <v>0</v>
      </c>
      <c r="BW21" s="54">
        <f>INDEX(DecomSchedule!$AK16:$AT16,1,MATCH(BW$5,DecomSchedule!$AK$3:$AT$3,0))</f>
        <v>0</v>
      </c>
      <c r="BX21" s="54">
        <f>INDEX(DecomSchedule!$AK16:$AT16,1,MATCH(BX$5,DecomSchedule!$AK$3:$AT$3,0))</f>
        <v>0</v>
      </c>
      <c r="BY21" s="54">
        <f>INDEX(DecomSchedule!$AK16:$AT16,1,MATCH(BY$5,DecomSchedule!$AK$3:$AT$3,0))</f>
        <v>0</v>
      </c>
      <c r="BZ21" s="54">
        <f>INDEX(DecomSchedule!$AK16:$AT16,1,MATCH(BZ$5,DecomSchedule!$AK$3:$AT$3,0))</f>
        <v>0</v>
      </c>
      <c r="CA21" s="54">
        <v>0</v>
      </c>
      <c r="CB21" s="54">
        <v>0</v>
      </c>
      <c r="CC21" s="54">
        <v>0</v>
      </c>
    </row>
    <row r="22" spans="1:81" ht="11.25" customHeight="1" x14ac:dyDescent="0.2">
      <c r="A22" s="30" t="str">
        <f t="shared" si="10"/>
        <v>TUTUKA</v>
      </c>
      <c r="B22" s="30" t="str">
        <f>Processes!B22</f>
        <v>ETCLETUTU-E</v>
      </c>
      <c r="C22" s="30" t="str">
        <f>Processes!C22</f>
        <v>TUTUKA</v>
      </c>
      <c r="D22" s="43" t="str">
        <f>"PWR"&amp;MID(B22,3,7)</f>
        <v>PWRCLETUTU</v>
      </c>
      <c r="E22" s="30" t="s">
        <v>129</v>
      </c>
      <c r="F22" s="37" t="str">
        <f t="shared" si="11"/>
        <v>PWRCLETUTU</v>
      </c>
      <c r="G22" s="39"/>
      <c r="H22" s="41">
        <f>INDEX('eskom production 2009-YTD'!$Q$35:$Q$62,MATCH(C22,'eskom production 2009-YTD'!$A$35:$A$62,0))</f>
        <v>0.31090796372879914</v>
      </c>
      <c r="I22" s="39"/>
      <c r="J22" s="39">
        <f>INDEX(ElecBY!$S$82:$S$103,MATCH(B22,ElecBY!$D$82:$D$103,0))</f>
        <v>13.031476138327839</v>
      </c>
      <c r="K22" s="39">
        <f>INDEX(ElecBY!$O$82:$O$103,MATCH(B22,ElecBY!$D$82:$D$103,0))</f>
        <v>543.03708177844862</v>
      </c>
      <c r="L22" s="39">
        <f>INDEX(ElecBY!$K$82:$K$103,MATCH(B22,ElecBY!$D$82:$D$103,0))</f>
        <v>12066.046460195865</v>
      </c>
      <c r="M22" s="49">
        <v>30</v>
      </c>
      <c r="N22" s="30">
        <v>31.536000000000001</v>
      </c>
      <c r="O22" s="30">
        <v>1</v>
      </c>
      <c r="P22" s="37">
        <v>5</v>
      </c>
      <c r="Q22" s="37">
        <v>0</v>
      </c>
      <c r="R22" s="51">
        <f>INDEX('eskom production 2009-YTD'!$J$100:$AB$115,MATCH($C22,'eskom production 2009-YTD'!$A$100:$A$115,0),MATCH(R$5,'eskom production 2009-YTD'!$J$65:$AB$65,0))</f>
        <v>0.5381100970535827</v>
      </c>
      <c r="S22" s="51">
        <f>R22*HistoricalDispatch!$B$5/HistoricalDispatch!$B$4</f>
        <v>0.54280861247995105</v>
      </c>
      <c r="T22" s="51">
        <f>S22*HistoricalDispatch!$B$6/HistoricalDispatch!$B$5</f>
        <v>0.52008309268143327</v>
      </c>
      <c r="U22" s="51">
        <f>INDEX('eskom production 2009-YTD'!$J$100:$AB$115,MATCH($C22,'eskom production 2009-YTD'!$A$100:$A$115,0),MATCH(U$5,'eskom production 2009-YTD'!$J$65:$AB$65,0))</f>
        <v>0.56059999999999999</v>
      </c>
      <c r="V22" s="51">
        <f>INDEX('eskom production 2009-YTD'!$J$100:$AB$115,MATCH($C22,'eskom production 2009-YTD'!$A$100:$A$115,0),MATCH(V$5,'eskom production 2009-YTD'!$J$65:$AB$65,0))</f>
        <v>0.56859999999999999</v>
      </c>
      <c r="W22" s="51">
        <f>INDEX('eskom production 2009-YTD'!$J$100:$AB$115,MATCH($C22,'eskom production 2009-YTD'!$A$100:$A$115,0),MATCH(W$5,'eskom production 2009-YTD'!$J$65:$AB$65,0))</f>
        <v>0.54049999999999998</v>
      </c>
      <c r="X22" s="51">
        <f>INDEX('eskom production 2009-YTD'!$BC$100:$BN$114,MATCH($A22,'eskom production 2009-YTD'!$A$100:$A$114,0),MATCH(X$5,'eskom production 2009-YTD'!$BC$99:$BN$99,0))</f>
        <v>0.33124000000000003</v>
      </c>
      <c r="Y22" s="51">
        <f>INDEX('eskom production 2009-YTD'!$BC$100:$BN$114,MATCH($A22,'eskom production 2009-YTD'!$A$100:$A$114,0),MATCH(Y$5,'eskom production 2009-YTD'!$BC$99:$BN$99,0))</f>
        <v>0.24714000000000003</v>
      </c>
      <c r="Z22" s="51">
        <f>INDEX('eskom production 2009-YTD'!$BC$100:$BN$114,MATCH($A22,'eskom production 2009-YTD'!$A$100:$A$114,0),MATCH(Z$5,'eskom production 2009-YTD'!$BC$99:$BN$99,0))</f>
        <v>0.23848499999999997</v>
      </c>
      <c r="AA22" s="51">
        <f>INDEX('eskom production 2009-YTD'!$BC$100:$BN$114,MATCH($A22,'eskom production 2009-YTD'!$A$100:$A$114,0),MATCH(AA$5,'eskom production 2009-YTD'!$BC$99:$BN$99,0))</f>
        <v>0.19087200000000001</v>
      </c>
      <c r="AB22" s="51">
        <f>INDEX('eskom production 2009-YTD'!$BC$100:$BN$114,MATCH($A22,'eskom production 2009-YTD'!$A$100:$A$114,0),MATCH(AB$5,'eskom production 2009-YTD'!$BC$99:$BN$99,0))</f>
        <v>0.20079499999999997</v>
      </c>
      <c r="AC22" s="51">
        <f>INDEX('eskom production 2009-YTD'!$BC$100:$BN$114,MATCH($A22,'eskom production 2009-YTD'!$A$100:$A$114,0),MATCH(AC$5,'eskom production 2009-YTD'!$BC$99:$BN$99,0))</f>
        <v>0.20641499999999999</v>
      </c>
      <c r="AD22" s="51">
        <f>INDEX('eskom production 2009-YTD'!$BC$100:$BN$114,MATCH($A22,'eskom production 2009-YTD'!$A$100:$A$114,0),MATCH(AD$5,'eskom production 2009-YTD'!$BC$99:$BN$99,0))</f>
        <v>0.18809600000000001</v>
      </c>
      <c r="AE22" s="51">
        <f>INDEX('eskom production 2009-YTD'!$BC$100:$BN$114,MATCH($A22,'eskom production 2009-YTD'!$A$100:$A$114,0),MATCH(AE$5,'eskom production 2009-YTD'!$BC$99:$BN$99,0))</f>
        <v>0.14507500000000001</v>
      </c>
      <c r="AF22" s="51">
        <f t="shared" si="7"/>
        <v>0.53757198695652908</v>
      </c>
      <c r="AG22" s="51">
        <f t="shared" si="8"/>
        <v>0.54226580386747114</v>
      </c>
      <c r="AH22" s="51">
        <f t="shared" si="9"/>
        <v>0.51488226175461893</v>
      </c>
      <c r="AI22" s="411">
        <v>0.05</v>
      </c>
      <c r="AJ22" s="51"/>
      <c r="AK22" s="37">
        <v>277.77800000000002</v>
      </c>
      <c r="AL22" s="51">
        <f t="shared" si="12"/>
        <v>96.25</v>
      </c>
      <c r="AM22" s="51">
        <f t="shared" si="13"/>
        <v>1E-3</v>
      </c>
      <c r="AN22" s="53">
        <f t="shared" si="14"/>
        <v>1.5E-3</v>
      </c>
      <c r="AO22" s="54">
        <f t="shared" si="15"/>
        <v>0.8675671912423536</v>
      </c>
      <c r="AP22" s="54">
        <f t="shared" si="16"/>
        <v>0.41576701555456169</v>
      </c>
      <c r="AQ22" s="51">
        <f t="shared" si="17"/>
        <v>0.02</v>
      </c>
      <c r="AR22" s="51">
        <f t="shared" si="18"/>
        <v>5.0000000000000001E-3</v>
      </c>
      <c r="AS22" s="51">
        <f t="shared" si="18"/>
        <v>4.5769644752755773E-2</v>
      </c>
      <c r="AT22" s="54">
        <f>INDEX('eskom production 2009-YTD'!$J$66:$AB$80,MATCH($C22,'eskom production 2009-YTD'!$A$66:$A$80,0),MATCH(AT$5,'eskom production 2009-YTD'!$J$65:$Q$65,0))/1000</f>
        <v>3.51</v>
      </c>
      <c r="AU22" s="54">
        <f>INDEX('eskom production 2009-YTD'!$J$66:$AB$80,MATCH($C22,'eskom production 2009-YTD'!$A$66:$A$80,0),MATCH(AU$5,'eskom production 2009-YTD'!$J$65:$Q$65,0))/1000</f>
        <v>3.51</v>
      </c>
      <c r="AV22" s="54">
        <f>DecomSchedule!P17</f>
        <v>3.51</v>
      </c>
      <c r="AW22" s="54">
        <f>DecomSchedule!Q17</f>
        <v>3.51</v>
      </c>
      <c r="AX22" s="54">
        <f>DecomSchedule!R17</f>
        <v>3.51</v>
      </c>
      <c r="AY22" s="54">
        <f>DecomSchedule!S17</f>
        <v>3.51</v>
      </c>
      <c r="AZ22" s="54">
        <f>DecomSchedule!T17</f>
        <v>3.51</v>
      </c>
      <c r="BA22" s="54">
        <f>DecomSchedule!U17</f>
        <v>3.51</v>
      </c>
      <c r="BB22" s="54">
        <f>DecomSchedule!V17</f>
        <v>3.51</v>
      </c>
      <c r="BC22" s="54">
        <f>DecomSchedule!W17</f>
        <v>3.51</v>
      </c>
      <c r="BD22" s="54">
        <f>DecomSchedule!X17</f>
        <v>3.51</v>
      </c>
      <c r="BE22" s="54">
        <f>DecomSchedule!Y17</f>
        <v>3.51</v>
      </c>
      <c r="BF22" s="54">
        <f>DecomSchedule!Z17</f>
        <v>0</v>
      </c>
      <c r="BG22" s="54">
        <f>DecomSchedule!AA17</f>
        <v>0</v>
      </c>
      <c r="BH22" s="54">
        <f>DecomSchedule!AB17</f>
        <v>0</v>
      </c>
      <c r="BI22" s="54">
        <f>DecomSchedule!AC17</f>
        <v>0</v>
      </c>
      <c r="BJ22" s="54">
        <f>DecomSchedule!AD17</f>
        <v>0</v>
      </c>
      <c r="BK22" s="54">
        <f>DecomSchedule!AE17</f>
        <v>0</v>
      </c>
      <c r="BL22" s="54">
        <f>DecomSchedule!AF17</f>
        <v>0</v>
      </c>
      <c r="BM22" s="54">
        <f>DecomSchedule!AG17</f>
        <v>0</v>
      </c>
      <c r="BN22" s="54">
        <f>DecomSchedule!AH17</f>
        <v>0</v>
      </c>
      <c r="BO22" s="54">
        <f>DecomSchedule!AI17</f>
        <v>0</v>
      </c>
      <c r="BP22" s="54">
        <f>DecomSchedule!AJ17</f>
        <v>0</v>
      </c>
      <c r="BQ22" s="54">
        <f>DecomSchedule!AK17</f>
        <v>0</v>
      </c>
      <c r="BR22" s="54">
        <f>DecomSchedule!AL17</f>
        <v>0</v>
      </c>
      <c r="BS22" s="54">
        <f>DecomSchedule!AM17</f>
        <v>0</v>
      </c>
      <c r="BT22" s="54">
        <f>DecomSchedule!AN17</f>
        <v>0</v>
      </c>
      <c r="BU22" s="54">
        <f>INDEX(DecomSchedule!$AK17:$AT17,1,MATCH(BU$5,DecomSchedule!$AK$3:$AT$3,0))</f>
        <v>0</v>
      </c>
      <c r="BV22" s="54">
        <f>INDEX(DecomSchedule!$AK17:$AT17,1,MATCH(BV$5,DecomSchedule!$AK$3:$AT$3,0))</f>
        <v>0</v>
      </c>
      <c r="BW22" s="54">
        <f>INDEX(DecomSchedule!$AK17:$AT17,1,MATCH(BW$5,DecomSchedule!$AK$3:$AT$3,0))</f>
        <v>0</v>
      </c>
      <c r="BX22" s="54">
        <f>INDEX(DecomSchedule!$AK17:$AT17,1,MATCH(BX$5,DecomSchedule!$AK$3:$AT$3,0))</f>
        <v>0</v>
      </c>
      <c r="BY22" s="54">
        <f>INDEX(DecomSchedule!$AK17:$AT17,1,MATCH(BY$5,DecomSchedule!$AK$3:$AT$3,0))</f>
        <v>0</v>
      </c>
      <c r="BZ22" s="54">
        <f>INDEX(DecomSchedule!$AK17:$AT17,1,MATCH(BZ$5,DecomSchedule!$AK$3:$AT$3,0))</f>
        <v>0</v>
      </c>
      <c r="CA22" s="54">
        <v>0</v>
      </c>
      <c r="CB22" s="54">
        <v>0</v>
      </c>
      <c r="CC22" s="54">
        <v>0</v>
      </c>
    </row>
    <row r="23" spans="1:81" ht="11.25" customHeight="1" x14ac:dyDescent="0.25">
      <c r="A23" s="30" t="str">
        <f t="shared" si="10"/>
        <v>KELVIN B</v>
      </c>
      <c r="B23" s="30" t="str">
        <f>Processes!B23</f>
        <v>ETCLEKELB-E</v>
      </c>
      <c r="C23" s="30" t="str">
        <f>Processes!C23</f>
        <v>KELVIN B</v>
      </c>
      <c r="D23" s="30" t="s">
        <v>130</v>
      </c>
      <c r="E23" s="30" t="s">
        <v>129</v>
      </c>
      <c r="F23" s="37" t="str">
        <f t="shared" si="11"/>
        <v>PWRCLE</v>
      </c>
      <c r="H23" s="41">
        <v>0.249</v>
      </c>
      <c r="J23" s="39">
        <f>INDEX(ElecBY!$S$82:$S$103,MATCH(B23,ElecBY!$D$82:$D$103,0))</f>
        <v>13.031476138327839</v>
      </c>
      <c r="K23" s="39">
        <f>INDEX(ElecBY!$O$82:$O$103,MATCH(B23,ElecBY!$D$82:$D$103,0))</f>
        <v>543.03708177844862</v>
      </c>
      <c r="L23" s="39">
        <f>INDEX(ElecBY!$K$82:$K$103,MATCH(B23,ElecBY!$D$82:$D$103,0))</f>
        <v>12066.046460195863</v>
      </c>
      <c r="M23" s="49">
        <v>30</v>
      </c>
      <c r="N23" s="30">
        <v>31.536000000000001</v>
      </c>
      <c r="O23" s="30">
        <v>1</v>
      </c>
      <c r="P23" s="37">
        <v>5</v>
      </c>
      <c r="Q23" s="37">
        <v>0</v>
      </c>
      <c r="R23" s="51">
        <f>NERSA2018!N150</f>
        <v>0.32478976407914761</v>
      </c>
      <c r="S23" s="51"/>
      <c r="T23" s="51"/>
      <c r="AF23" s="51">
        <f>R23</f>
        <v>0.32478976407914761</v>
      </c>
      <c r="AG23" s="51"/>
      <c r="AH23" s="51"/>
      <c r="AK23" s="37">
        <v>277.77800000000002</v>
      </c>
      <c r="AL23" s="52"/>
      <c r="AM23" s="51"/>
      <c r="AN23" s="53"/>
      <c r="AO23" s="51"/>
      <c r="AP23" s="51"/>
      <c r="AQ23" s="51"/>
      <c r="AR23" s="51"/>
      <c r="AS23" s="51"/>
      <c r="AT23" s="30">
        <v>0.6</v>
      </c>
      <c r="AU23" s="30">
        <v>0.6</v>
      </c>
      <c r="AV23" s="30">
        <v>0.6</v>
      </c>
      <c r="AW23" s="30">
        <v>0.6</v>
      </c>
      <c r="AX23" s="30">
        <v>0.6</v>
      </c>
      <c r="AY23" s="30">
        <v>0.6</v>
      </c>
      <c r="AZ23" s="30">
        <v>0.6</v>
      </c>
      <c r="BA23" s="30">
        <v>0.6</v>
      </c>
      <c r="BB23" s="30">
        <v>0.6</v>
      </c>
      <c r="BC23" s="30">
        <v>0</v>
      </c>
    </row>
    <row r="24" spans="1:81" ht="11.25" customHeight="1" x14ac:dyDescent="0.2">
      <c r="B24" s="30" t="str">
        <f>Processes!B30</f>
        <v>ETCLEPFSS-E</v>
      </c>
      <c r="C24" s="30" t="str">
        <f>Processes!C30</f>
        <v>Sasol SSF Coal Plant</v>
      </c>
      <c r="D24" s="30" t="s">
        <v>335</v>
      </c>
      <c r="E24" s="30" t="s">
        <v>2372</v>
      </c>
      <c r="F24" s="37" t="str">
        <f t="shared" si="11"/>
        <v>UPSCLE</v>
      </c>
      <c r="G24" s="41">
        <v>0.25429035508469455</v>
      </c>
      <c r="H24" s="41"/>
      <c r="I24" s="41"/>
      <c r="J24" s="39">
        <f>INDEX(ElecBY!$S$82:$S$103,MATCH(B24,ElecBY!$D$82:$D$103,0))</f>
        <v>13.031476138327839</v>
      </c>
      <c r="K24" s="39">
        <f>INDEX(ElecBY!$O$82:$O$103,MATCH(B24,ElecBY!$D$82:$D$103,0))</f>
        <v>543.03708177844862</v>
      </c>
      <c r="L24" s="39">
        <f>INDEX(ElecBY!$K$82:$K$103,MATCH(B24,ElecBY!$D$82:$D$103,0))</f>
        <v>12066.046460195863</v>
      </c>
      <c r="M24" s="49">
        <v>30</v>
      </c>
      <c r="N24" s="30">
        <v>31.536000000000001</v>
      </c>
      <c r="O24" s="30">
        <v>0</v>
      </c>
      <c r="P24" s="37">
        <v>5</v>
      </c>
      <c r="Q24" s="37">
        <v>0</v>
      </c>
      <c r="R24" s="51">
        <f>NERSA2017!P107</f>
        <v>0.73182243390231716</v>
      </c>
      <c r="S24" s="51"/>
      <c r="T24" s="51"/>
      <c r="AF24" s="51">
        <f>R24</f>
        <v>0.73182243390231716</v>
      </c>
      <c r="AG24" s="51"/>
      <c r="AH24" s="51"/>
      <c r="AK24" s="37">
        <v>277.77800000000002</v>
      </c>
      <c r="AL24" s="51">
        <f>AL22</f>
        <v>96.25</v>
      </c>
      <c r="AM24" s="51">
        <f t="shared" ref="AM24:AS24" si="26">AM22</f>
        <v>1E-3</v>
      </c>
      <c r="AN24" s="51">
        <f t="shared" si="26"/>
        <v>1.5E-3</v>
      </c>
      <c r="AO24" s="51">
        <f t="shared" si="26"/>
        <v>0.8675671912423536</v>
      </c>
      <c r="AP24" s="51">
        <f t="shared" si="26"/>
        <v>0.41576701555456169</v>
      </c>
      <c r="AQ24" s="51">
        <f t="shared" si="26"/>
        <v>0.02</v>
      </c>
      <c r="AR24" s="51">
        <f t="shared" si="26"/>
        <v>5.0000000000000001E-3</v>
      </c>
      <c r="AS24" s="51">
        <f t="shared" si="26"/>
        <v>4.5769644752755773E-2</v>
      </c>
      <c r="AT24" s="30">
        <v>0.6</v>
      </c>
      <c r="AV24" s="37"/>
      <c r="BF24" s="30">
        <v>0</v>
      </c>
    </row>
    <row r="25" spans="1:81" ht="11.25" customHeight="1" x14ac:dyDescent="0.25">
      <c r="B25" s="30" t="str">
        <f>Processes!B31</f>
        <v>ETCLEPFSI-E</v>
      </c>
      <c r="C25" s="30" t="str">
        <f>Processes!C31</f>
        <v>Sasol Infrachem Coal Plant</v>
      </c>
      <c r="D25" s="30" t="s">
        <v>334</v>
      </c>
      <c r="E25" s="30" t="s">
        <v>2370</v>
      </c>
      <c r="F25" s="37" t="str">
        <f t="shared" si="11"/>
        <v>INDCLE</v>
      </c>
      <c r="G25" s="41">
        <v>0.25429035508469455</v>
      </c>
      <c r="H25" s="41"/>
      <c r="I25" s="41"/>
      <c r="J25" s="39">
        <f>INDEX(ElecBY!$S$82:$S$103,MATCH(B25,ElecBY!$D$82:$D$103,0))</f>
        <v>13.031476138327839</v>
      </c>
      <c r="K25" s="39">
        <f>INDEX(ElecBY!$O$82:$O$103,MATCH(B25,ElecBY!$D$82:$D$103,0))</f>
        <v>543.03708177844851</v>
      </c>
      <c r="L25" s="39">
        <f>INDEX(ElecBY!$K$82:$K$103,MATCH(B25,ElecBY!$D$82:$D$103,0))</f>
        <v>12066.046460195865</v>
      </c>
      <c r="M25" s="49">
        <v>30</v>
      </c>
      <c r="N25" s="30">
        <v>31.536000000000001</v>
      </c>
      <c r="O25" s="30">
        <v>0</v>
      </c>
      <c r="P25" s="37">
        <v>5</v>
      </c>
      <c r="Q25" s="37">
        <v>0</v>
      </c>
      <c r="R25" s="51">
        <f>NERSA2017!P106</f>
        <v>0.55688169145976019</v>
      </c>
      <c r="S25" s="51"/>
      <c r="T25" s="51"/>
      <c r="AF25" s="51">
        <f>R25</f>
        <v>0.55688169145976019</v>
      </c>
      <c r="AG25" s="51"/>
      <c r="AH25" s="51"/>
      <c r="AK25" s="37">
        <v>277.77800000000002</v>
      </c>
      <c r="AL25" s="52"/>
      <c r="AM25" s="52"/>
      <c r="AN25" s="52"/>
      <c r="AO25" s="52"/>
      <c r="AP25" s="52"/>
      <c r="AQ25" s="52"/>
      <c r="AR25" s="52"/>
      <c r="AS25" s="52"/>
      <c r="AT25" s="30">
        <v>0.128</v>
      </c>
      <c r="AU25" s="30">
        <f t="shared" ref="AU25:BP25" si="27">AT25</f>
        <v>0.128</v>
      </c>
      <c r="AV25" s="30">
        <f t="shared" si="27"/>
        <v>0.128</v>
      </c>
      <c r="AW25" s="30">
        <f t="shared" si="27"/>
        <v>0.128</v>
      </c>
      <c r="AX25" s="30">
        <f t="shared" si="27"/>
        <v>0.128</v>
      </c>
      <c r="AY25" s="30">
        <f t="shared" si="27"/>
        <v>0.128</v>
      </c>
      <c r="AZ25" s="30">
        <f t="shared" si="27"/>
        <v>0.128</v>
      </c>
      <c r="BA25" s="30">
        <f t="shared" si="27"/>
        <v>0.128</v>
      </c>
      <c r="BB25" s="30">
        <f t="shared" si="27"/>
        <v>0.128</v>
      </c>
      <c r="BC25" s="30">
        <f t="shared" si="27"/>
        <v>0.128</v>
      </c>
      <c r="BD25" s="30">
        <f t="shared" si="27"/>
        <v>0.128</v>
      </c>
      <c r="BE25" s="30">
        <f t="shared" si="27"/>
        <v>0.128</v>
      </c>
      <c r="BF25" s="30">
        <f t="shared" si="27"/>
        <v>0.128</v>
      </c>
      <c r="BG25" s="30">
        <f t="shared" si="27"/>
        <v>0.128</v>
      </c>
      <c r="BH25" s="30">
        <f t="shared" si="27"/>
        <v>0.128</v>
      </c>
      <c r="BI25" s="30">
        <f t="shared" si="27"/>
        <v>0.128</v>
      </c>
      <c r="BJ25" s="30">
        <f t="shared" si="27"/>
        <v>0.128</v>
      </c>
      <c r="BK25" s="30">
        <f t="shared" si="27"/>
        <v>0.128</v>
      </c>
      <c r="BL25" s="30">
        <f t="shared" si="27"/>
        <v>0.128</v>
      </c>
      <c r="BM25" s="30">
        <f t="shared" si="27"/>
        <v>0.128</v>
      </c>
      <c r="BN25" s="30">
        <f t="shared" si="27"/>
        <v>0.128</v>
      </c>
      <c r="BO25" s="30">
        <f t="shared" si="27"/>
        <v>0.128</v>
      </c>
      <c r="BP25" s="30">
        <f t="shared" si="27"/>
        <v>0.128</v>
      </c>
      <c r="BQ25" s="30">
        <f t="shared" ref="BQ25" si="28">BP25</f>
        <v>0.128</v>
      </c>
      <c r="BR25" s="30">
        <f t="shared" ref="BR25" si="29">BQ25</f>
        <v>0.128</v>
      </c>
      <c r="BS25" s="30">
        <f t="shared" ref="BS25" si="30">BR25</f>
        <v>0.128</v>
      </c>
      <c r="BT25" s="30">
        <f t="shared" ref="BT25" si="31">BS25</f>
        <v>0.128</v>
      </c>
      <c r="BU25" s="30">
        <v>0</v>
      </c>
      <c r="BV25" s="30">
        <v>0</v>
      </c>
      <c r="BW25" s="30">
        <v>0</v>
      </c>
      <c r="BX25" s="30">
        <v>0</v>
      </c>
      <c r="BY25" s="30">
        <v>0</v>
      </c>
      <c r="BZ25" s="30">
        <v>0</v>
      </c>
      <c r="CA25" s="30">
        <v>0</v>
      </c>
      <c r="CB25" s="30">
        <v>0</v>
      </c>
      <c r="CC25" s="30">
        <v>0</v>
      </c>
    </row>
    <row r="26" spans="1:81" ht="11.25" customHeight="1" x14ac:dyDescent="0.25">
      <c r="B26" s="30" t="str">
        <f>Processes!B24</f>
        <v>ETODSGT-E</v>
      </c>
      <c r="C26" s="30" t="str">
        <f>Processes!C24</f>
        <v>OCGT liquid fuels Existing</v>
      </c>
      <c r="D26" s="30" t="s">
        <v>333</v>
      </c>
      <c r="E26" s="30" t="s">
        <v>129</v>
      </c>
      <c r="F26" s="37" t="str">
        <f t="shared" si="11"/>
        <v>PWRODS</v>
      </c>
      <c r="G26" s="41">
        <v>0.32271024591215164</v>
      </c>
      <c r="H26" s="41"/>
      <c r="I26" s="41"/>
      <c r="J26" s="39">
        <f>INDEX(ElecBY!$S$82:$S$103,MATCH(B26,ElecBY!$D$82:$D$103,0))</f>
        <v>0</v>
      </c>
      <c r="K26" s="39">
        <f>INDEX(ElecBY!$O$82:$O$103,MATCH(B26,ElecBY!$D$82:$D$103,0))</f>
        <v>94.469172806428347</v>
      </c>
      <c r="L26" s="39">
        <f>INDEX(ElecBY!$K$82:$K$103,MATCH(B26,ElecBY!$D$82:$D$103,0))</f>
        <v>2549.1787236695927</v>
      </c>
      <c r="M26" s="49">
        <v>30</v>
      </c>
      <c r="N26" s="30">
        <v>31.536000000000001</v>
      </c>
      <c r="O26" s="30">
        <v>1</v>
      </c>
      <c r="P26" s="37">
        <v>5</v>
      </c>
      <c r="Q26" s="37">
        <v>0</v>
      </c>
      <c r="R26" s="30">
        <v>0.95879999999999999</v>
      </c>
      <c r="AF26" s="53">
        <f>HistoricalDispatch!H22</f>
        <v>2.9606004647677766E-3</v>
      </c>
      <c r="AG26" s="53">
        <f>HistoricalDispatch!H23</f>
        <v>2.8781988551988529E-2</v>
      </c>
      <c r="AH26" s="53">
        <f>HistoricalDispatch!H24</f>
        <v>7.090683283222167E-2</v>
      </c>
      <c r="AI26" s="30">
        <v>0.01</v>
      </c>
      <c r="AK26" s="37">
        <v>277.77800000000002</v>
      </c>
      <c r="AL26" s="52"/>
      <c r="AM26" s="52"/>
      <c r="AN26" s="52"/>
      <c r="AO26" s="52"/>
      <c r="AP26" s="52"/>
      <c r="AQ26" s="52"/>
      <c r="AR26" s="52"/>
      <c r="AS26" s="50"/>
      <c r="AT26" s="30">
        <v>2.4</v>
      </c>
      <c r="AU26" s="30">
        <f t="shared" ref="AU26:BB26" si="32">AT26</f>
        <v>2.4</v>
      </c>
      <c r="AV26" s="30">
        <f t="shared" si="32"/>
        <v>2.4</v>
      </c>
      <c r="AW26" s="30">
        <f t="shared" si="32"/>
        <v>2.4</v>
      </c>
      <c r="AX26" s="30">
        <f t="shared" si="32"/>
        <v>2.4</v>
      </c>
      <c r="AY26" s="30">
        <f t="shared" si="32"/>
        <v>2.4</v>
      </c>
      <c r="AZ26" s="30">
        <f t="shared" si="32"/>
        <v>2.4</v>
      </c>
      <c r="BA26" s="30">
        <f t="shared" si="32"/>
        <v>2.4</v>
      </c>
      <c r="BB26" s="30">
        <f t="shared" si="32"/>
        <v>2.4</v>
      </c>
      <c r="BC26" s="30">
        <v>2.1</v>
      </c>
      <c r="BD26" s="30">
        <f>BC26</f>
        <v>2.1</v>
      </c>
      <c r="BE26" s="30">
        <f t="shared" ref="BE26:BN26" si="33">BD26</f>
        <v>2.1</v>
      </c>
      <c r="BF26" s="30">
        <f t="shared" si="33"/>
        <v>2.1</v>
      </c>
      <c r="BG26" s="30">
        <f t="shared" si="33"/>
        <v>2.1</v>
      </c>
      <c r="BH26" s="30">
        <f t="shared" si="33"/>
        <v>2.1</v>
      </c>
      <c r="BI26" s="30">
        <f t="shared" si="33"/>
        <v>2.1</v>
      </c>
      <c r="BJ26" s="30">
        <f t="shared" si="33"/>
        <v>2.1</v>
      </c>
      <c r="BK26" s="30">
        <f t="shared" si="33"/>
        <v>2.1</v>
      </c>
      <c r="BL26" s="30">
        <f t="shared" si="33"/>
        <v>2.1</v>
      </c>
      <c r="BM26" s="30">
        <f t="shared" si="33"/>
        <v>2.1</v>
      </c>
      <c r="BN26" s="30">
        <f t="shared" si="33"/>
        <v>2.1</v>
      </c>
      <c r="BO26" s="30">
        <v>2.1</v>
      </c>
      <c r="BP26" s="30">
        <v>0</v>
      </c>
      <c r="BQ26" s="30">
        <v>0</v>
      </c>
      <c r="BR26" s="30">
        <v>0</v>
      </c>
      <c r="BS26" s="30">
        <v>0</v>
      </c>
      <c r="BT26" s="30">
        <v>0</v>
      </c>
      <c r="BU26" s="30">
        <v>0</v>
      </c>
      <c r="BV26" s="30">
        <v>0</v>
      </c>
      <c r="BW26" s="30">
        <v>0</v>
      </c>
      <c r="BX26" s="30">
        <v>0</v>
      </c>
      <c r="BY26" s="30">
        <v>0</v>
      </c>
      <c r="BZ26" s="30">
        <v>0</v>
      </c>
      <c r="CA26" s="30">
        <v>0</v>
      </c>
      <c r="CB26" s="30">
        <v>0</v>
      </c>
      <c r="CC26" s="30">
        <v>0</v>
      </c>
    </row>
    <row r="27" spans="1:81" ht="11.25" customHeight="1" x14ac:dyDescent="0.25">
      <c r="B27" s="30" t="str">
        <f>Processes!B25</f>
        <v>ERHYD-E</v>
      </c>
      <c r="C27" s="30" t="str">
        <f>Processes!C25</f>
        <v>Hydro Existing South Africa</v>
      </c>
      <c r="D27" s="30" t="s">
        <v>332</v>
      </c>
      <c r="E27" s="30" t="s">
        <v>129</v>
      </c>
      <c r="G27" s="30">
        <v>1</v>
      </c>
      <c r="J27" s="39">
        <f>INDEX(ElecBY!$S$82:$S$103,MATCH(B27,ElecBY!$D$82:$D$103,0))</f>
        <v>0</v>
      </c>
      <c r="K27" s="39">
        <f>INDEX(ElecBY!$O$82:$O$103,MATCH(B27,ElecBY!$D$82:$D$103,0))</f>
        <v>58.762396075334657</v>
      </c>
      <c r="L27" s="39">
        <f>INDEX(ElecBY!$K$82:$K$103,MATCH(B27,ElecBY!$D$82:$D$103,0))</f>
        <v>7065.6415898987534</v>
      </c>
      <c r="M27" s="49">
        <v>50</v>
      </c>
      <c r="N27" s="30">
        <v>31.536000000000001</v>
      </c>
      <c r="O27" s="30">
        <v>1</v>
      </c>
      <c r="P27" s="37">
        <v>5</v>
      </c>
      <c r="Q27" s="37">
        <v>0</v>
      </c>
      <c r="R27" s="40">
        <f>HistoricalDispatch!G4/1000/(ProcDataGenPre2012!AT27*8760)</f>
        <v>0.12001708037216328</v>
      </c>
      <c r="S27" s="40"/>
      <c r="T27" s="40"/>
      <c r="AF27" s="51">
        <f>R27</f>
        <v>0.12001708037216328</v>
      </c>
      <c r="AG27" s="51"/>
      <c r="AH27" s="51"/>
      <c r="AK27" s="37"/>
      <c r="AL27" s="52"/>
      <c r="AM27" s="52"/>
      <c r="AN27" s="52"/>
      <c r="AO27" s="52"/>
      <c r="AP27" s="52"/>
      <c r="AQ27" s="52"/>
      <c r="AR27" s="52"/>
      <c r="AS27" s="50"/>
      <c r="AT27" s="30">
        <v>0.66500000000000004</v>
      </c>
      <c r="AU27" s="30">
        <f t="shared" ref="AU27:BP27" si="34">AT27</f>
        <v>0.66500000000000004</v>
      </c>
      <c r="AV27" s="30">
        <f t="shared" si="34"/>
        <v>0.66500000000000004</v>
      </c>
      <c r="AW27" s="30">
        <f t="shared" si="34"/>
        <v>0.66500000000000004</v>
      </c>
      <c r="AX27" s="30">
        <f t="shared" si="34"/>
        <v>0.66500000000000004</v>
      </c>
      <c r="AY27" s="30">
        <f t="shared" si="34"/>
        <v>0.66500000000000004</v>
      </c>
      <c r="AZ27" s="30">
        <f t="shared" si="34"/>
        <v>0.66500000000000004</v>
      </c>
      <c r="BA27" s="30">
        <f t="shared" si="34"/>
        <v>0.66500000000000004</v>
      </c>
      <c r="BB27" s="30">
        <f t="shared" si="34"/>
        <v>0.66500000000000004</v>
      </c>
      <c r="BC27" s="30">
        <f t="shared" si="34"/>
        <v>0.66500000000000004</v>
      </c>
      <c r="BD27" s="30">
        <f t="shared" si="34"/>
        <v>0.66500000000000004</v>
      </c>
      <c r="BE27" s="30">
        <f t="shared" si="34"/>
        <v>0.66500000000000004</v>
      </c>
      <c r="BF27" s="30">
        <f t="shared" si="34"/>
        <v>0.66500000000000004</v>
      </c>
      <c r="BG27" s="30">
        <f t="shared" si="34"/>
        <v>0.66500000000000004</v>
      </c>
      <c r="BH27" s="30">
        <f t="shared" si="34"/>
        <v>0.66500000000000004</v>
      </c>
      <c r="BI27" s="30">
        <f t="shared" si="34"/>
        <v>0.66500000000000004</v>
      </c>
      <c r="BJ27" s="30">
        <f t="shared" si="34"/>
        <v>0.66500000000000004</v>
      </c>
      <c r="BK27" s="30">
        <f t="shared" si="34"/>
        <v>0.66500000000000004</v>
      </c>
      <c r="BL27" s="30">
        <f t="shared" si="34"/>
        <v>0.66500000000000004</v>
      </c>
      <c r="BM27" s="30">
        <f t="shared" si="34"/>
        <v>0.66500000000000004</v>
      </c>
      <c r="BN27" s="30">
        <f t="shared" si="34"/>
        <v>0.66500000000000004</v>
      </c>
      <c r="BO27" s="30">
        <f t="shared" si="34"/>
        <v>0.66500000000000004</v>
      </c>
      <c r="BP27" s="30">
        <f t="shared" si="34"/>
        <v>0.66500000000000004</v>
      </c>
      <c r="BQ27" s="30">
        <f t="shared" ref="BQ27" si="35">BP27</f>
        <v>0.66500000000000004</v>
      </c>
      <c r="BR27" s="30">
        <f t="shared" ref="BR27" si="36">BQ27</f>
        <v>0.66500000000000004</v>
      </c>
      <c r="BS27" s="30">
        <f t="shared" ref="BS27" si="37">BR27</f>
        <v>0.66500000000000004</v>
      </c>
      <c r="BT27" s="30">
        <f t="shared" ref="BT27" si="38">BS27</f>
        <v>0.66500000000000004</v>
      </c>
      <c r="BU27" s="30">
        <f>BP27</f>
        <v>0.66500000000000004</v>
      </c>
      <c r="BV27" s="30">
        <f t="shared" ref="BV27:BY27" si="39">BQ27</f>
        <v>0.66500000000000004</v>
      </c>
      <c r="BW27" s="30">
        <f t="shared" si="39"/>
        <v>0.66500000000000004</v>
      </c>
      <c r="BX27" s="30">
        <f t="shared" si="39"/>
        <v>0.66500000000000004</v>
      </c>
      <c r="BY27" s="30">
        <f t="shared" si="39"/>
        <v>0.66500000000000004</v>
      </c>
      <c r="BZ27" s="30">
        <f>BU27</f>
        <v>0.66500000000000004</v>
      </c>
      <c r="CA27" s="30">
        <f>BV27</f>
        <v>0.66500000000000004</v>
      </c>
      <c r="CB27" s="30">
        <f>BZ27</f>
        <v>0.66500000000000004</v>
      </c>
      <c r="CC27" s="30">
        <f>CB27</f>
        <v>0.66500000000000004</v>
      </c>
    </row>
    <row r="28" spans="1:81" ht="11.25" customHeight="1" x14ac:dyDescent="0.25">
      <c r="B28" s="30" t="str">
        <f>Processes!B26</f>
        <v>ERHYD-I</v>
      </c>
      <c r="C28" s="30" t="str">
        <f>Processes!C26</f>
        <v>Hydro Existing Region</v>
      </c>
      <c r="E28" s="30" t="s">
        <v>129</v>
      </c>
      <c r="J28" s="39">
        <f>0.34*1000/3.6</f>
        <v>94.444444444444443</v>
      </c>
      <c r="K28" s="39">
        <f>INDEX(ElecBY!$O$82:$O$103,MATCH(B28,ElecBY!$D$82:$D$103,0))</f>
        <v>58.762396075334657</v>
      </c>
      <c r="L28" s="39">
        <f>INDEX(ElecBY!$K$82:$K$103,MATCH(B28,ElecBY!$D$82:$D$103,0))</f>
        <v>7065.6415898987516</v>
      </c>
      <c r="M28" s="49">
        <v>50</v>
      </c>
      <c r="N28" s="30">
        <v>31.536000000000001</v>
      </c>
      <c r="O28" s="30">
        <v>1</v>
      </c>
      <c r="P28" s="37">
        <v>5</v>
      </c>
      <c r="Q28" s="37">
        <v>0</v>
      </c>
      <c r="R28" s="40">
        <f>HistoricalDispatch!F4/1000/(ProcDataGenPre2012!AT28*8760)</f>
        <v>0.6898696347031964</v>
      </c>
      <c r="S28" s="40"/>
      <c r="T28" s="40"/>
      <c r="U28" s="40"/>
      <c r="V28" s="40"/>
      <c r="W28" s="40"/>
      <c r="X28" s="40"/>
      <c r="Y28" s="40"/>
      <c r="Z28" s="40"/>
      <c r="AA28" s="40"/>
      <c r="AB28" s="40"/>
      <c r="AC28" s="40"/>
      <c r="AD28" s="40"/>
      <c r="AF28" s="51">
        <f>R28</f>
        <v>0.6898696347031964</v>
      </c>
      <c r="AG28" s="51"/>
      <c r="AH28" s="51"/>
      <c r="AI28" s="40"/>
      <c r="AK28" s="37"/>
      <c r="AL28" s="52"/>
      <c r="AM28" s="52"/>
      <c r="AN28" s="52"/>
      <c r="AO28" s="52"/>
      <c r="AP28" s="52"/>
      <c r="AQ28" s="52"/>
      <c r="AR28" s="52"/>
      <c r="AS28" s="50"/>
      <c r="AT28" s="30">
        <v>1.5</v>
      </c>
      <c r="CC28" s="30">
        <v>1.5</v>
      </c>
    </row>
    <row r="29" spans="1:81" ht="11.25" customHeight="1" x14ac:dyDescent="0.25">
      <c r="B29" s="30" t="str">
        <f>Processes!B27</f>
        <v>ETNUC-E</v>
      </c>
      <c r="C29" s="30" t="str">
        <f>Processes!C27</f>
        <v>Nuclear Existing</v>
      </c>
      <c r="D29" s="30" t="s">
        <v>331</v>
      </c>
      <c r="E29" s="30" t="s">
        <v>129</v>
      </c>
      <c r="G29" s="41">
        <v>0.32001521850150205</v>
      </c>
      <c r="H29" s="41"/>
      <c r="I29" s="41"/>
      <c r="J29" s="39">
        <f>INDEX(ElecBY!$S$82:$S$103,MATCH(B29,ElecBY!$D$82:$D$103,0))</f>
        <v>0</v>
      </c>
      <c r="K29" s="39">
        <f>INDEX(ElecBY!$O$82:$O$103,MATCH(B29,ElecBY!$D$82:$D$103,0))</f>
        <v>568.74297914074202</v>
      </c>
      <c r="L29" s="39">
        <f>INDEX(ElecBY!$K$82:$K$103,MATCH(B29,ElecBY!$D$82:$D$103,0))</f>
        <v>22572.762447558838</v>
      </c>
      <c r="M29" s="49">
        <v>50</v>
      </c>
      <c r="N29" s="30">
        <v>31.536000000000001</v>
      </c>
      <c r="O29" s="30">
        <v>1</v>
      </c>
      <c r="P29" s="37">
        <v>5</v>
      </c>
      <c r="Q29" s="37">
        <v>0</v>
      </c>
      <c r="R29" s="40">
        <f>HistoricalDispatch!I4/1000/(AT29*8760)</f>
        <v>0.92601880492954292</v>
      </c>
      <c r="S29" s="40">
        <f>HistoricalDispatch!I5/HistoricalDispatch!I4*R29</f>
        <v>0.64727451269210001</v>
      </c>
      <c r="T29" s="40">
        <f>HistoricalDispatch!I6/HistoricalDispatch!I5*S29</f>
        <v>0.83381609957283842</v>
      </c>
      <c r="U29" s="30">
        <f>'eskom production 2009-YTD'!AD154</f>
        <v>0.84160000000000001</v>
      </c>
      <c r="V29" s="30">
        <f>'eskom production 2009-YTD'!AE154</f>
        <v>0.82959999999999989</v>
      </c>
      <c r="W29" s="30">
        <f>'eskom production 2009-YTD'!AF154</f>
        <v>0.70319999999999994</v>
      </c>
      <c r="X29" s="30">
        <f>'eskom production 2009-YTD'!AG154</f>
        <v>0.90079999999999993</v>
      </c>
      <c r="Y29" s="30">
        <f>'eskom production 2009-YTD'!AH154</f>
        <v>0.86459999999999992</v>
      </c>
      <c r="Z29" s="30">
        <f>'eskom production 2009-YTD'!AI154</f>
        <v>0.74930000000000008</v>
      </c>
      <c r="AA29" s="30">
        <f>'eskom production 2009-YTD'!AJ154</f>
        <v>0.90040000000000009</v>
      </c>
      <c r="AB29" s="30">
        <f>'eskom production 2009-YTD'!AK154</f>
        <v>0.89500000000000002</v>
      </c>
      <c r="AC29" s="30">
        <f>'eskom production 2009-YTD'!AL154</f>
        <v>0.92110000000000003</v>
      </c>
      <c r="AD29" s="30">
        <f>'eskom production 2009-YTD'!AM154</f>
        <v>0.84499999999999997</v>
      </c>
      <c r="AE29" s="30">
        <f>'eskom production 2009-YTD'!AN154</f>
        <v>0.84540000000000004</v>
      </c>
      <c r="AF29" s="51">
        <f>R29</f>
        <v>0.92601880492954292</v>
      </c>
      <c r="AG29" s="51">
        <f>S29*0.999</f>
        <v>0.64662723817940793</v>
      </c>
      <c r="AH29" s="51">
        <f>T29*0.999</f>
        <v>0.83298228347326553</v>
      </c>
      <c r="AI29" s="39">
        <f>AG29</f>
        <v>0.64662723817940793</v>
      </c>
      <c r="AK29" s="37">
        <v>277.77800000000002</v>
      </c>
      <c r="AL29" s="50"/>
      <c r="AM29" s="50"/>
      <c r="AN29" s="50"/>
      <c r="AO29" s="50"/>
      <c r="AP29" s="50"/>
      <c r="AQ29" s="50"/>
      <c r="AR29" s="50"/>
      <c r="AS29" s="50"/>
      <c r="AT29" s="30">
        <v>1.86</v>
      </c>
      <c r="AU29" s="30">
        <f t="shared" ref="AU29:BO29" si="40">AT29</f>
        <v>1.86</v>
      </c>
      <c r="AV29" s="30">
        <f t="shared" si="40"/>
        <v>1.86</v>
      </c>
      <c r="AW29" s="30">
        <f t="shared" si="40"/>
        <v>1.86</v>
      </c>
      <c r="AX29" s="30">
        <f t="shared" si="40"/>
        <v>1.86</v>
      </c>
      <c r="AY29" s="30">
        <f t="shared" si="40"/>
        <v>1.86</v>
      </c>
      <c r="AZ29" s="30">
        <f t="shared" si="40"/>
        <v>1.86</v>
      </c>
      <c r="BA29" s="30">
        <f t="shared" si="40"/>
        <v>1.86</v>
      </c>
      <c r="BB29" s="30">
        <f t="shared" si="40"/>
        <v>1.86</v>
      </c>
      <c r="BC29" s="30">
        <f t="shared" si="40"/>
        <v>1.86</v>
      </c>
      <c r="BD29" s="30">
        <f t="shared" si="40"/>
        <v>1.86</v>
      </c>
      <c r="BE29" s="30">
        <f t="shared" si="40"/>
        <v>1.86</v>
      </c>
      <c r="BF29" s="30">
        <f t="shared" si="40"/>
        <v>1.86</v>
      </c>
      <c r="BG29" s="30">
        <f t="shared" si="40"/>
        <v>1.86</v>
      </c>
      <c r="BH29" s="30">
        <f t="shared" si="40"/>
        <v>1.86</v>
      </c>
      <c r="BI29" s="30">
        <f t="shared" si="40"/>
        <v>1.86</v>
      </c>
      <c r="BJ29" s="30">
        <f t="shared" si="40"/>
        <v>1.86</v>
      </c>
      <c r="BK29" s="30">
        <f t="shared" si="40"/>
        <v>1.86</v>
      </c>
      <c r="BL29" s="30">
        <f t="shared" si="40"/>
        <v>1.86</v>
      </c>
      <c r="BM29" s="30">
        <f t="shared" si="40"/>
        <v>1.86</v>
      </c>
      <c r="BN29" s="30">
        <f t="shared" si="40"/>
        <v>1.86</v>
      </c>
      <c r="BO29" s="30">
        <f t="shared" si="40"/>
        <v>1.86</v>
      </c>
      <c r="BP29" s="30">
        <v>1.86</v>
      </c>
      <c r="BQ29" s="30">
        <v>1.86</v>
      </c>
      <c r="BR29" s="30">
        <v>1.86</v>
      </c>
      <c r="BS29" s="30">
        <v>1.86</v>
      </c>
      <c r="BT29" s="30">
        <v>1.86</v>
      </c>
      <c r="BU29" s="30">
        <v>0</v>
      </c>
      <c r="BV29" s="30">
        <v>0</v>
      </c>
      <c r="BW29" s="30">
        <v>0</v>
      </c>
      <c r="BX29" s="30">
        <v>0</v>
      </c>
      <c r="BY29" s="30">
        <v>0</v>
      </c>
      <c r="BZ29" s="30">
        <v>0</v>
      </c>
      <c r="CA29" s="30">
        <v>0</v>
      </c>
      <c r="CB29" s="30">
        <v>0</v>
      </c>
      <c r="CC29" s="30">
        <v>0</v>
      </c>
    </row>
    <row r="30" spans="1:81" ht="11.25" customHeight="1" x14ac:dyDescent="0.2">
      <c r="B30" s="30" t="str">
        <f>Processes!B28</f>
        <v>EPTSTO-E</v>
      </c>
      <c r="C30" s="30" t="str">
        <f>Processes!C28</f>
        <v>Pump Storage All Existing - Single Storage Tech</v>
      </c>
      <c r="D30" s="30" t="s">
        <v>129</v>
      </c>
      <c r="E30" s="30" t="s">
        <v>129</v>
      </c>
      <c r="I30" s="30">
        <v>0.73</v>
      </c>
      <c r="J30" s="39">
        <f>INDEX(ElecBY!$S$82:$S$103,MATCH(B30,ElecBY!$D$82:$D$103,0))</f>
        <v>0</v>
      </c>
      <c r="K30" s="39">
        <f>INDEX(ElecBY!$O$82:$O$103,MATCH(B30,ElecBY!$D$82:$D$103,0))</f>
        <v>6.3557831228270487</v>
      </c>
      <c r="L30" s="39">
        <f>INDEX(ElecBY!$K$82:$K$103,MATCH(B30,ElecBY!$D$82:$D$103,0))</f>
        <v>6963.1608337923444</v>
      </c>
      <c r="M30" s="49">
        <v>50</v>
      </c>
      <c r="N30" s="30">
        <v>31.536000000000001</v>
      </c>
      <c r="O30" s="30">
        <v>1</v>
      </c>
      <c r="P30" s="37">
        <v>5</v>
      </c>
      <c r="Q30" s="37">
        <v>0</v>
      </c>
      <c r="AJ30" s="30">
        <v>1</v>
      </c>
      <c r="AK30" s="37"/>
      <c r="AT30" s="30">
        <v>1.58</v>
      </c>
      <c r="AU30" s="30">
        <f t="shared" ref="AU30:BP30" si="41">AT30</f>
        <v>1.58</v>
      </c>
      <c r="AV30" s="30">
        <f t="shared" si="41"/>
        <v>1.58</v>
      </c>
      <c r="AW30" s="30">
        <f t="shared" si="41"/>
        <v>1.58</v>
      </c>
      <c r="AX30" s="30">
        <f t="shared" si="41"/>
        <v>1.58</v>
      </c>
      <c r="AY30" s="30">
        <f t="shared" si="41"/>
        <v>1.58</v>
      </c>
      <c r="AZ30" s="30">
        <f t="shared" si="41"/>
        <v>1.58</v>
      </c>
      <c r="BA30" s="30">
        <f t="shared" si="41"/>
        <v>1.58</v>
      </c>
      <c r="BB30" s="30">
        <f t="shared" si="41"/>
        <v>1.58</v>
      </c>
      <c r="BC30" s="30">
        <f t="shared" si="41"/>
        <v>1.58</v>
      </c>
      <c r="BD30" s="30">
        <f t="shared" si="41"/>
        <v>1.58</v>
      </c>
      <c r="BE30" s="30">
        <f t="shared" si="41"/>
        <v>1.58</v>
      </c>
      <c r="BF30" s="30">
        <f t="shared" si="41"/>
        <v>1.58</v>
      </c>
      <c r="BG30" s="30">
        <f t="shared" si="41"/>
        <v>1.58</v>
      </c>
      <c r="BH30" s="30">
        <f t="shared" si="41"/>
        <v>1.58</v>
      </c>
      <c r="BI30" s="30">
        <f t="shared" si="41"/>
        <v>1.58</v>
      </c>
      <c r="BJ30" s="30">
        <f t="shared" si="41"/>
        <v>1.58</v>
      </c>
      <c r="BK30" s="30">
        <f t="shared" si="41"/>
        <v>1.58</v>
      </c>
      <c r="BL30" s="30">
        <f t="shared" si="41"/>
        <v>1.58</v>
      </c>
      <c r="BM30" s="30">
        <f t="shared" si="41"/>
        <v>1.58</v>
      </c>
      <c r="BN30" s="30">
        <f t="shared" si="41"/>
        <v>1.58</v>
      </c>
      <c r="BO30" s="30">
        <f t="shared" si="41"/>
        <v>1.58</v>
      </c>
      <c r="BP30" s="30">
        <f t="shared" si="41"/>
        <v>1.58</v>
      </c>
      <c r="BQ30" s="30">
        <f t="shared" ref="BQ30" si="42">BP30</f>
        <v>1.58</v>
      </c>
      <c r="BR30" s="30">
        <f t="shared" ref="BR30" si="43">BQ30</f>
        <v>1.58</v>
      </c>
      <c r="BS30" s="30">
        <f t="shared" ref="BS30" si="44">BR30</f>
        <v>1.58</v>
      </c>
      <c r="BT30" s="30">
        <f t="shared" ref="BT30" si="45">BS30</f>
        <v>1.58</v>
      </c>
      <c r="BU30" s="30">
        <f>BP30</f>
        <v>1.58</v>
      </c>
      <c r="BV30" s="30">
        <f t="shared" ref="BV30:BY30" si="46">BQ30</f>
        <v>1.58</v>
      </c>
      <c r="BW30" s="30">
        <f t="shared" si="46"/>
        <v>1.58</v>
      </c>
      <c r="BX30" s="30">
        <f t="shared" si="46"/>
        <v>1.58</v>
      </c>
      <c r="BY30" s="30">
        <f t="shared" si="46"/>
        <v>1.58</v>
      </c>
      <c r="BZ30" s="30">
        <v>1.58</v>
      </c>
      <c r="CA30" s="30">
        <v>2.58</v>
      </c>
      <c r="CB30" s="30">
        <f>BZ30</f>
        <v>1.58</v>
      </c>
      <c r="CC30" s="30">
        <f>CB30</f>
        <v>1.58</v>
      </c>
    </row>
  </sheetData>
  <pageMargins left="0.75" right="0.75" top="1" bottom="1" header="0.5" footer="0.5"/>
  <pageSetup paperSize="9" orientation="landscape" horizontalDpi="1200" verticalDpi="0"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3A77-C0BB-4C81-BCD5-16E308A51C94}">
  <sheetPr codeName="Sheet36">
    <tabColor rgb="FF00B0F0"/>
  </sheetPr>
  <dimension ref="A1:BU41"/>
  <sheetViews>
    <sheetView zoomScale="140" zoomScaleNormal="140" workbookViewId="0">
      <pane xSplit="5" ySplit="8" topLeftCell="AF9" activePane="bottomRight" state="frozen"/>
      <selection pane="topRight" activeCell="F1" sqref="F1"/>
      <selection pane="bottomLeft" activeCell="A9" sqref="A9"/>
      <selection pane="bottomRight" activeCell="Y9" sqref="Y9:AH10"/>
    </sheetView>
  </sheetViews>
  <sheetFormatPr defaultColWidth="9.140625" defaultRowHeight="11.25" customHeight="1" x14ac:dyDescent="0.2"/>
  <cols>
    <col min="1" max="1" width="12.28515625" style="30" customWidth="1"/>
    <col min="2" max="2" width="15.28515625" style="30" customWidth="1"/>
    <col min="3" max="3" width="8.5703125" style="30" customWidth="1"/>
    <col min="4" max="4" width="12.28515625" style="30" customWidth="1"/>
    <col min="5" max="5" width="10.140625" style="30" customWidth="1"/>
    <col min="6" max="6" width="13.5703125" style="37" customWidth="1"/>
    <col min="7" max="15" width="9.140625" style="30"/>
    <col min="16" max="16" width="10.7109375" style="30" customWidth="1"/>
    <col min="17" max="16384" width="9.140625" style="30"/>
  </cols>
  <sheetData>
    <row r="1" spans="1:73" ht="11.25" customHeight="1" x14ac:dyDescent="0.2">
      <c r="A1" s="47"/>
      <c r="B1" s="9"/>
      <c r="L1" s="60"/>
      <c r="Q1" s="30" t="s">
        <v>92</v>
      </c>
      <c r="R1" s="30" t="s">
        <v>92</v>
      </c>
      <c r="S1" s="30" t="s">
        <v>92</v>
      </c>
      <c r="T1" s="30" t="s">
        <v>92</v>
      </c>
      <c r="W1" s="30" t="s">
        <v>92</v>
      </c>
      <c r="X1" s="30" t="s">
        <v>92</v>
      </c>
    </row>
    <row r="2" spans="1:73" ht="11.25" customHeight="1" x14ac:dyDescent="0.2">
      <c r="A2" s="45"/>
    </row>
    <row r="3" spans="1:73" ht="34.5" customHeight="1" x14ac:dyDescent="0.2">
      <c r="G3" s="59" t="s">
        <v>143</v>
      </c>
      <c r="H3" s="59" t="s">
        <v>1875</v>
      </c>
      <c r="I3" s="59" t="s">
        <v>364</v>
      </c>
      <c r="J3" s="59" t="s">
        <v>363</v>
      </c>
      <c r="K3" s="59" t="s">
        <v>362</v>
      </c>
      <c r="L3" s="59" t="s">
        <v>381</v>
      </c>
      <c r="M3" s="59" t="s">
        <v>380</v>
      </c>
      <c r="N3" s="59" t="s">
        <v>153</v>
      </c>
      <c r="O3" s="59" t="s">
        <v>142</v>
      </c>
      <c r="P3" s="59" t="s">
        <v>356</v>
      </c>
      <c r="Q3" s="30" t="s">
        <v>359</v>
      </c>
      <c r="R3" s="30" t="s">
        <v>359</v>
      </c>
      <c r="S3" s="30" t="s">
        <v>359</v>
      </c>
      <c r="T3" s="30" t="s">
        <v>359</v>
      </c>
      <c r="U3" s="30" t="s">
        <v>359</v>
      </c>
      <c r="V3" s="30" t="s">
        <v>359</v>
      </c>
      <c r="W3" s="30" t="s">
        <v>359</v>
      </c>
      <c r="X3" s="30" t="s">
        <v>359</v>
      </c>
      <c r="Y3" s="30" t="s">
        <v>359</v>
      </c>
      <c r="Z3" s="30" t="s">
        <v>359</v>
      </c>
      <c r="AA3" s="30" t="s">
        <v>359</v>
      </c>
      <c r="AB3" s="30" t="s">
        <v>359</v>
      </c>
      <c r="AC3" s="30" t="s">
        <v>359</v>
      </c>
      <c r="AD3" s="30" t="s">
        <v>359</v>
      </c>
      <c r="AE3" s="30" t="s">
        <v>359</v>
      </c>
      <c r="AF3" s="30" t="s">
        <v>359</v>
      </c>
      <c r="AG3" s="30" t="s">
        <v>359</v>
      </c>
      <c r="AH3" s="30" t="s">
        <v>359</v>
      </c>
      <c r="AI3" s="30" t="s">
        <v>357</v>
      </c>
      <c r="AJ3" s="30" t="s">
        <v>355</v>
      </c>
      <c r="AR3" s="30" t="s">
        <v>379</v>
      </c>
      <c r="AS3" s="30" t="s">
        <v>378</v>
      </c>
      <c r="AT3" s="30" t="s">
        <v>378</v>
      </c>
      <c r="AU3" s="30" t="s">
        <v>377</v>
      </c>
    </row>
    <row r="4" spans="1:73" ht="21.75" customHeight="1" x14ac:dyDescent="0.2">
      <c r="D4" s="58"/>
      <c r="E4" s="58"/>
      <c r="F4" s="58"/>
      <c r="G4" s="46" t="s">
        <v>118</v>
      </c>
      <c r="H4" s="46" t="s">
        <v>1876</v>
      </c>
      <c r="I4" s="46" t="s">
        <v>354</v>
      </c>
      <c r="J4" s="46" t="s">
        <v>117</v>
      </c>
      <c r="K4" s="46" t="s">
        <v>146</v>
      </c>
      <c r="L4" s="46" t="s">
        <v>353</v>
      </c>
      <c r="M4" s="46" t="s">
        <v>376</v>
      </c>
      <c r="N4" s="46" t="s">
        <v>352</v>
      </c>
      <c r="O4" s="46" t="s">
        <v>116</v>
      </c>
      <c r="P4" s="57" t="s">
        <v>346</v>
      </c>
      <c r="Q4" s="57" t="s">
        <v>348</v>
      </c>
      <c r="R4" s="57" t="s">
        <v>348</v>
      </c>
      <c r="S4" s="57" t="s">
        <v>348</v>
      </c>
      <c r="T4" s="57" t="s">
        <v>348</v>
      </c>
      <c r="U4" s="57" t="s">
        <v>348</v>
      </c>
      <c r="V4" s="57" t="s">
        <v>349</v>
      </c>
      <c r="W4" s="57" t="s">
        <v>349</v>
      </c>
      <c r="X4" s="57" t="s">
        <v>349</v>
      </c>
      <c r="Y4" s="57" t="s">
        <v>349</v>
      </c>
      <c r="Z4" s="57" t="s">
        <v>349</v>
      </c>
      <c r="AA4" s="57" t="s">
        <v>349</v>
      </c>
      <c r="AB4" s="57" t="s">
        <v>349</v>
      </c>
      <c r="AC4" s="57" t="s">
        <v>349</v>
      </c>
      <c r="AD4" s="57" t="s">
        <v>349</v>
      </c>
      <c r="AE4" s="57" t="s">
        <v>349</v>
      </c>
      <c r="AF4" s="57" t="s">
        <v>349</v>
      </c>
      <c r="AG4" s="57" t="s">
        <v>349</v>
      </c>
      <c r="AH4" s="57" t="s">
        <v>349</v>
      </c>
      <c r="AI4" s="57" t="s">
        <v>347</v>
      </c>
      <c r="AJ4" s="57" t="s">
        <v>345</v>
      </c>
      <c r="AK4" s="57" t="s">
        <v>345</v>
      </c>
      <c r="AL4" s="57" t="s">
        <v>345</v>
      </c>
      <c r="AM4" s="57" t="s">
        <v>345</v>
      </c>
      <c r="AN4" s="57" t="s">
        <v>345</v>
      </c>
      <c r="AO4" s="57" t="s">
        <v>345</v>
      </c>
      <c r="AP4" s="57" t="s">
        <v>345</v>
      </c>
      <c r="AQ4" s="57" t="s">
        <v>345</v>
      </c>
      <c r="AR4" s="57" t="s">
        <v>375</v>
      </c>
      <c r="AS4" s="57" t="s">
        <v>155</v>
      </c>
      <c r="AT4" s="57" t="s">
        <v>155</v>
      </c>
      <c r="AU4" s="57" t="s">
        <v>2561</v>
      </c>
      <c r="AV4" s="57" t="s">
        <v>2487</v>
      </c>
      <c r="AW4" s="57" t="s">
        <v>2561</v>
      </c>
      <c r="AX4" s="57" t="s">
        <v>2561</v>
      </c>
      <c r="AY4" s="57" t="s">
        <v>2561</v>
      </c>
      <c r="AZ4" s="57" t="s">
        <v>374</v>
      </c>
      <c r="BA4" s="57" t="s">
        <v>2562</v>
      </c>
      <c r="BB4" s="57" t="s">
        <v>374</v>
      </c>
      <c r="BC4" s="57" t="s">
        <v>374</v>
      </c>
      <c r="BD4" s="57" t="s">
        <v>374</v>
      </c>
      <c r="BE4" s="57" t="s">
        <v>374</v>
      </c>
      <c r="BF4" s="57" t="s">
        <v>374</v>
      </c>
      <c r="BG4" s="57" t="s">
        <v>374</v>
      </c>
      <c r="BH4" s="57" t="s">
        <v>374</v>
      </c>
      <c r="BI4" s="57" t="s">
        <v>374</v>
      </c>
      <c r="BJ4" s="57" t="s">
        <v>350</v>
      </c>
      <c r="BK4" s="57" t="s">
        <v>350</v>
      </c>
      <c r="BL4" s="57" t="s">
        <v>350</v>
      </c>
      <c r="BM4" s="57" t="s">
        <v>350</v>
      </c>
      <c r="BN4" s="57" t="s">
        <v>350</v>
      </c>
      <c r="BO4" s="57" t="s">
        <v>350</v>
      </c>
      <c r="BP4" s="57" t="s">
        <v>350</v>
      </c>
      <c r="BQ4" s="57" t="s">
        <v>350</v>
      </c>
      <c r="BR4" s="57" t="s">
        <v>350</v>
      </c>
      <c r="BS4" s="57" t="s">
        <v>350</v>
      </c>
      <c r="BT4" s="57"/>
      <c r="BU4" s="57"/>
    </row>
    <row r="5" spans="1:73" ht="16.5" customHeight="1" x14ac:dyDescent="0.2">
      <c r="G5" s="46" t="s">
        <v>27</v>
      </c>
      <c r="H5" s="46" t="s">
        <v>129</v>
      </c>
      <c r="I5" s="46"/>
      <c r="J5" s="46"/>
      <c r="K5" s="393"/>
      <c r="O5" s="56"/>
      <c r="P5" s="46" t="s">
        <v>344</v>
      </c>
      <c r="Q5" s="30">
        <v>2017</v>
      </c>
      <c r="R5" s="30">
        <v>2018</v>
      </c>
      <c r="S5" s="30">
        <v>2019</v>
      </c>
      <c r="T5" s="30">
        <v>2020</v>
      </c>
      <c r="U5" s="30">
        <v>2021</v>
      </c>
      <c r="V5" s="46"/>
      <c r="W5" s="30">
        <v>2017</v>
      </c>
      <c r="X5" s="30">
        <v>2020</v>
      </c>
      <c r="Y5" s="30">
        <v>2021</v>
      </c>
      <c r="Z5" s="30">
        <v>2022</v>
      </c>
      <c r="AA5" s="30">
        <v>2023</v>
      </c>
      <c r="AB5" s="30">
        <v>2024</v>
      </c>
      <c r="AC5" s="30">
        <v>2025</v>
      </c>
      <c r="AD5" s="30">
        <v>2026</v>
      </c>
      <c r="AE5" s="30">
        <v>2027</v>
      </c>
      <c r="AF5" s="30">
        <v>2028</v>
      </c>
      <c r="AG5" s="30">
        <v>2029</v>
      </c>
      <c r="AH5" s="30">
        <v>2030</v>
      </c>
      <c r="AI5" s="46" t="s">
        <v>27</v>
      </c>
      <c r="AJ5" s="46" t="s">
        <v>2482</v>
      </c>
      <c r="AK5" s="46" t="s">
        <v>2483</v>
      </c>
      <c r="AL5" s="46" t="s">
        <v>2476</v>
      </c>
      <c r="AM5" s="46" t="s">
        <v>2477</v>
      </c>
      <c r="AN5" s="46" t="s">
        <v>2478</v>
      </c>
      <c r="AO5" s="46" t="s">
        <v>2479</v>
      </c>
      <c r="AP5" s="46" t="s">
        <v>2480</v>
      </c>
      <c r="AQ5" s="46" t="s">
        <v>2481</v>
      </c>
      <c r="AU5" s="30">
        <v>2012</v>
      </c>
      <c r="AV5" s="30">
        <v>2013</v>
      </c>
      <c r="AW5" s="30">
        <v>2014</v>
      </c>
      <c r="AX5" s="30">
        <v>2015</v>
      </c>
      <c r="AY5" s="30">
        <v>2016</v>
      </c>
      <c r="AZ5" s="30">
        <v>2017</v>
      </c>
      <c r="BB5" s="30">
        <v>2018</v>
      </c>
      <c r="BC5" s="30">
        <v>2019</v>
      </c>
      <c r="BD5" s="30">
        <v>2020</v>
      </c>
      <c r="BE5" s="30">
        <v>2021</v>
      </c>
      <c r="BF5" s="30">
        <v>2022</v>
      </c>
      <c r="BG5" s="30">
        <v>2023</v>
      </c>
      <c r="BH5" s="30">
        <v>2024</v>
      </c>
      <c r="BI5" s="30">
        <v>2025</v>
      </c>
      <c r="BJ5" s="30">
        <v>0</v>
      </c>
      <c r="BK5" s="30">
        <v>2024</v>
      </c>
      <c r="BL5" s="30">
        <v>2025</v>
      </c>
      <c r="BM5" s="30">
        <v>2026</v>
      </c>
      <c r="BN5" s="30">
        <v>2030</v>
      </c>
      <c r="BO5" s="30">
        <v>2035</v>
      </c>
      <c r="BP5" s="30">
        <v>2037</v>
      </c>
      <c r="BQ5" s="30">
        <v>2040</v>
      </c>
      <c r="BR5" s="30">
        <v>2045</v>
      </c>
      <c r="BS5" s="30">
        <v>2050</v>
      </c>
    </row>
    <row r="6" spans="1:73" ht="17.25" customHeight="1" x14ac:dyDescent="0.2">
      <c r="E6" s="30" t="s">
        <v>2451</v>
      </c>
      <c r="G6" s="46"/>
      <c r="H6" s="46"/>
      <c r="I6" s="46"/>
      <c r="J6" s="46"/>
      <c r="K6" s="393"/>
      <c r="O6" s="56"/>
      <c r="P6" s="46"/>
      <c r="AI6" s="46"/>
      <c r="AJ6" s="46"/>
      <c r="AK6" s="46"/>
      <c r="AL6" s="46"/>
      <c r="AM6" s="46"/>
      <c r="AN6" s="46"/>
      <c r="AO6" s="46"/>
      <c r="AP6" s="46"/>
      <c r="AQ6" s="46"/>
      <c r="AU6" s="46"/>
      <c r="AV6" s="46"/>
      <c r="AW6" s="46"/>
      <c r="AX6" s="46"/>
      <c r="AY6" s="46"/>
      <c r="AZ6" s="46"/>
      <c r="BA6" s="46"/>
      <c r="BB6" s="46"/>
      <c r="BC6" s="46"/>
      <c r="BD6" s="46"/>
      <c r="BJ6" s="46"/>
    </row>
    <row r="7" spans="1:73" ht="21.75" customHeight="1" x14ac:dyDescent="0.2">
      <c r="B7" s="47" t="s">
        <v>2411</v>
      </c>
      <c r="C7" s="47" t="s">
        <v>2412</v>
      </c>
      <c r="D7" s="47" t="s">
        <v>2421</v>
      </c>
      <c r="E7" s="47" t="s">
        <v>2422</v>
      </c>
      <c r="F7" s="55" t="s">
        <v>2429</v>
      </c>
      <c r="G7" s="30" t="str">
        <f>IFERROR(REPLACE(G4,SEARCH("-",G4),1,"~"),G4)</f>
        <v>ACT_EFF</v>
      </c>
      <c r="H7" s="30" t="s">
        <v>2427</v>
      </c>
      <c r="I7" s="30" t="str">
        <f>IFERROR(REPLACE(I4,SEARCH("-",I4),1,"~"),I4)</f>
        <v>STG_EFF</v>
      </c>
      <c r="J7" s="30" t="str">
        <f t="shared" ref="J7:O7" si="0">IFERROR(REPLACE(J4,SEARCH("-",J4),1,"~"),J4)</f>
        <v>ACT_COST</v>
      </c>
      <c r="K7" s="30" t="str">
        <f t="shared" si="0"/>
        <v>NCAP_FOM</v>
      </c>
      <c r="L7" s="30" t="str">
        <f t="shared" si="0"/>
        <v>NCAP_COST</v>
      </c>
      <c r="M7" s="30" t="str">
        <f t="shared" si="0"/>
        <v>NCAP_ILED</v>
      </c>
      <c r="N7" s="30" t="str">
        <f t="shared" si="0"/>
        <v>NCAP_TLIFE</v>
      </c>
      <c r="O7" s="30" t="str">
        <f t="shared" si="0"/>
        <v>PRC_CAPACT</v>
      </c>
      <c r="P7" s="30" t="s">
        <v>2445</v>
      </c>
      <c r="Q7" s="59" t="str">
        <f t="shared" ref="Q7:AH7" si="1">IFERROR(REPLACE(Q4,SEARCH("-",Q4),1,"~"),Q4)&amp;"~"&amp;Q5</f>
        <v>NCAP_AFA~LO~2017</v>
      </c>
      <c r="R7" s="59" t="str">
        <f t="shared" si="1"/>
        <v>NCAP_AFA~LO~2018</v>
      </c>
      <c r="S7" s="59" t="str">
        <f t="shared" si="1"/>
        <v>NCAP_AFA~LO~2019</v>
      </c>
      <c r="T7" s="59" t="str">
        <f t="shared" si="1"/>
        <v>NCAP_AFA~LO~2020</v>
      </c>
      <c r="U7" s="59" t="str">
        <f t="shared" si="1"/>
        <v>NCAP_AFA~LO~2021</v>
      </c>
      <c r="V7" s="59" t="str">
        <f>IFERROR(REPLACE(V4,SEARCH("-",V4),1,"~"),V4)</f>
        <v>NCAP_AFA~UP</v>
      </c>
      <c r="W7" s="59" t="str">
        <f t="shared" si="1"/>
        <v>NCAP_AFA~UP~2017</v>
      </c>
      <c r="X7" s="59" t="str">
        <f t="shared" si="1"/>
        <v>NCAP_AFA~UP~2020</v>
      </c>
      <c r="Y7" s="59" t="str">
        <f t="shared" si="1"/>
        <v>NCAP_AFA~UP~2021</v>
      </c>
      <c r="Z7" s="59" t="str">
        <f t="shared" si="1"/>
        <v>NCAP_AFA~UP~2022</v>
      </c>
      <c r="AA7" s="59" t="str">
        <f t="shared" si="1"/>
        <v>NCAP_AFA~UP~2023</v>
      </c>
      <c r="AB7" s="59" t="str">
        <f t="shared" si="1"/>
        <v>NCAP_AFA~UP~2024</v>
      </c>
      <c r="AC7" s="59" t="str">
        <f t="shared" si="1"/>
        <v>NCAP_AFA~UP~2025</v>
      </c>
      <c r="AD7" s="59" t="str">
        <f t="shared" si="1"/>
        <v>NCAP_AFA~UP~2026</v>
      </c>
      <c r="AE7" s="59" t="str">
        <f t="shared" si="1"/>
        <v>NCAP_AFA~UP~2027</v>
      </c>
      <c r="AF7" s="59" t="str">
        <f t="shared" si="1"/>
        <v>NCAP_AFA~UP~2028</v>
      </c>
      <c r="AG7" s="59" t="str">
        <f t="shared" si="1"/>
        <v>NCAP_AFA~UP~2029</v>
      </c>
      <c r="AH7" s="59" t="str">
        <f t="shared" si="1"/>
        <v>NCAP_AFA~UP~2030</v>
      </c>
      <c r="AI7" s="59" t="str">
        <f>IFERROR(REPLACE(AI4,SEARCH("-",AI4),1,"~"),AI4)&amp;"~DAYNITE"</f>
        <v>NCAP_AFC~DAYNITE</v>
      </c>
      <c r="AJ7" s="483" t="str">
        <f>"FLO_EMIS~"&amp;AJ5</f>
        <v>FLO_EMIS~CO2C</v>
      </c>
      <c r="AK7" s="483" t="str">
        <f t="shared" ref="AK7:AP7" si="2">"FLO_EMIS~"&amp;AK5</f>
        <v>FLO_EMIS~CH4C</v>
      </c>
      <c r="AL7" s="483" t="str">
        <f t="shared" si="2"/>
        <v>FLO_EMIS~N2OS</v>
      </c>
      <c r="AM7" s="483" t="str">
        <f t="shared" si="2"/>
        <v>FLO_EMIS~SOXS</v>
      </c>
      <c r="AN7" s="483" t="str">
        <f t="shared" si="2"/>
        <v>FLO_EMIS~NOXS</v>
      </c>
      <c r="AO7" s="483" t="str">
        <f t="shared" si="2"/>
        <v>FLO_EMIS~CMOX</v>
      </c>
      <c r="AP7" s="483" t="str">
        <f t="shared" si="2"/>
        <v>FLO_EMIS~NMVS</v>
      </c>
      <c r="AQ7" s="483" t="str">
        <f t="shared" ref="AQ7" si="3">"FLO_EMIS~"&amp;AQ5</f>
        <v>FLO_EMIS~PM10S</v>
      </c>
      <c r="AR7" s="59" t="str">
        <f t="shared" ref="AR7:AT7" si="4">IFERROR(REPLACE(AR4,SEARCH("-",AR4),1,"~"),AR4)</f>
        <v>NCAP_START</v>
      </c>
      <c r="AS7" s="59" t="str">
        <f>IFERROR(REPLACE(AS4,SEARCH("-",AS4),1,"~"),AS4)&amp;"~0"</f>
        <v>CAP_BND~UP~0</v>
      </c>
      <c r="AT7" s="59" t="str">
        <f t="shared" si="4"/>
        <v>CAP_BND~UP</v>
      </c>
      <c r="AU7" s="59" t="str">
        <f t="shared" ref="AU7:BS7" si="5">IFERROR(REPLACE(AU4,SEARCH("-",AU4),1,"~"),AU4)&amp;"~"&amp;AU5</f>
        <v>NCAP_PASTI~2012</v>
      </c>
      <c r="AV7" s="59" t="str">
        <f t="shared" si="5"/>
        <v>Nothing~2013</v>
      </c>
      <c r="AW7" s="59" t="str">
        <f t="shared" si="5"/>
        <v>NCAP_PASTI~2014</v>
      </c>
      <c r="AX7" s="59" t="str">
        <f t="shared" si="5"/>
        <v>NCAP_PASTI~2015</v>
      </c>
      <c r="AY7" s="59" t="str">
        <f t="shared" si="5"/>
        <v>NCAP_PASTI~2016</v>
      </c>
      <c r="AZ7" s="59" t="str">
        <f t="shared" si="5"/>
        <v>NCAP_BND~FX~2017</v>
      </c>
      <c r="BA7" s="59" t="s">
        <v>2487</v>
      </c>
      <c r="BB7" s="59" t="str">
        <f t="shared" si="5"/>
        <v>NCAP_BND~FX~2018</v>
      </c>
      <c r="BC7" s="59" t="str">
        <f t="shared" si="5"/>
        <v>NCAP_BND~FX~2019</v>
      </c>
      <c r="BD7" s="59" t="str">
        <f t="shared" si="5"/>
        <v>NCAP_BND~FX~2020</v>
      </c>
      <c r="BE7" s="59" t="str">
        <f t="shared" si="5"/>
        <v>NCAP_BND~FX~2021</v>
      </c>
      <c r="BF7" s="59" t="str">
        <f t="shared" si="5"/>
        <v>NCAP_BND~FX~2022</v>
      </c>
      <c r="BG7" s="59" t="str">
        <f t="shared" si="5"/>
        <v>NCAP_BND~FX~2023</v>
      </c>
      <c r="BH7" s="59" t="str">
        <f t="shared" si="5"/>
        <v>NCAP_BND~FX~2024</v>
      </c>
      <c r="BI7" s="59" t="str">
        <f t="shared" si="5"/>
        <v>NCAP_BND~FX~2025</v>
      </c>
      <c r="BJ7" s="59" t="str">
        <f t="shared" si="5"/>
        <v>NCAP_BND~UP~0</v>
      </c>
      <c r="BK7" s="59" t="str">
        <f t="shared" si="5"/>
        <v>NCAP_BND~UP~2024</v>
      </c>
      <c r="BL7" s="59" t="str">
        <f t="shared" si="5"/>
        <v>NCAP_BND~UP~2025</v>
      </c>
      <c r="BM7" s="59" t="str">
        <f t="shared" si="5"/>
        <v>NCAP_BND~UP~2026</v>
      </c>
      <c r="BN7" s="59" t="str">
        <f t="shared" si="5"/>
        <v>NCAP_BND~UP~2030</v>
      </c>
      <c r="BO7" s="59" t="str">
        <f t="shared" si="5"/>
        <v>NCAP_BND~UP~2035</v>
      </c>
      <c r="BP7" s="59" t="str">
        <f t="shared" si="5"/>
        <v>NCAP_BND~UP~2037</v>
      </c>
      <c r="BQ7" s="59" t="str">
        <f t="shared" si="5"/>
        <v>NCAP_BND~UP~2040</v>
      </c>
      <c r="BR7" s="59" t="str">
        <f t="shared" si="5"/>
        <v>NCAP_BND~UP~2045</v>
      </c>
      <c r="BS7" s="59" t="str">
        <f t="shared" si="5"/>
        <v>NCAP_BND~UP~2050</v>
      </c>
    </row>
    <row r="8" spans="1:73" ht="11.25" customHeight="1" x14ac:dyDescent="0.2">
      <c r="A8" s="33" t="str">
        <f>Processes!A32</f>
        <v>* New Power Plants - Grid</v>
      </c>
      <c r="E8" s="30" t="s">
        <v>129</v>
      </c>
      <c r="P8" s="37"/>
      <c r="AL8" s="37"/>
      <c r="AM8" s="37"/>
      <c r="BE8" s="37"/>
      <c r="BJ8" s="37">
        <v>5</v>
      </c>
    </row>
    <row r="9" spans="1:73" ht="11.25" customHeight="1" x14ac:dyDescent="0.2">
      <c r="B9" s="30" t="str">
        <f>Processes!B33</f>
        <v>ETCLEMEDU-N</v>
      </c>
      <c r="C9" s="30" t="str">
        <f>Processes!C33</f>
        <v>MEDUPI</v>
      </c>
      <c r="D9" s="43" t="str">
        <f>"PWR"&amp;MID(B9,3,7)</f>
        <v>PWRCLEMEDU</v>
      </c>
      <c r="E9" s="30" t="s">
        <v>129</v>
      </c>
      <c r="F9" s="37" t="str">
        <f>D9</f>
        <v>PWRCLEMEDU</v>
      </c>
      <c r="H9" s="41">
        <f>INDEX('eskom production 2009-YTD'!$Q$35:$Q$62,MATCH(C9,'eskom production 2009-YTD'!$A$35:$A$62,0))</f>
        <v>0.37099999999999994</v>
      </c>
      <c r="I9" s="39"/>
      <c r="J9" s="39">
        <f>ProcDataGenPre2012!J9</f>
        <v>13.031476138327839</v>
      </c>
      <c r="K9" s="39">
        <f>ProcDataGenPre2012!K9</f>
        <v>543.03708177844862</v>
      </c>
      <c r="L9" s="60">
        <f>L10</f>
        <v>51359.853856451664</v>
      </c>
      <c r="M9" s="30">
        <v>-8</v>
      </c>
      <c r="N9" s="30">
        <v>50</v>
      </c>
      <c r="O9" s="30">
        <v>31.536000000000001</v>
      </c>
      <c r="P9" s="37">
        <v>277.77800000000002</v>
      </c>
      <c r="Q9" s="51">
        <v>0.79</v>
      </c>
      <c r="R9" s="51"/>
      <c r="S9" s="51"/>
      <c r="T9" s="51">
        <v>0.55000000000000004</v>
      </c>
      <c r="U9" s="411">
        <v>0.05</v>
      </c>
      <c r="V9" s="51"/>
      <c r="W9" s="51">
        <v>0.8</v>
      </c>
      <c r="X9" s="51">
        <f>INDEX('eskom production 2009-YTD'!$J$100:$AB$115,MATCH($C9,'eskom production 2009-YTD'!$A$100:$A$115,0),MATCH(X$5,'eskom production 2009-YTD'!$J$65:$AB$65,0))</f>
        <v>0.75639999999999996</v>
      </c>
      <c r="Y9" s="51"/>
      <c r="Z9" s="51"/>
      <c r="AA9" s="51"/>
      <c r="AB9" s="51"/>
      <c r="AC9" s="51"/>
      <c r="AD9" s="51"/>
      <c r="AE9" s="51"/>
      <c r="AF9" s="51"/>
      <c r="AG9" s="51"/>
      <c r="AH9" s="51"/>
      <c r="AI9" s="51"/>
      <c r="AJ9" s="51">
        <v>96.25</v>
      </c>
      <c r="AK9" s="54">
        <v>1E-3</v>
      </c>
      <c r="AL9" s="358">
        <v>1.5E-3</v>
      </c>
      <c r="AM9" s="51">
        <f>9.03/3.6*H9</f>
        <v>0.93059166666666648</v>
      </c>
      <c r="AN9" s="51">
        <f>1.91/3.6*H9</f>
        <v>0.19683611111111107</v>
      </c>
      <c r="AO9" s="51">
        <v>0.02</v>
      </c>
      <c r="AP9" s="54">
        <v>5.0000000000000001E-3</v>
      </c>
      <c r="AQ9" s="54">
        <f>HistoricalDispatch!$U$73</f>
        <v>4.5769644752755773E-2</v>
      </c>
      <c r="AR9" s="51"/>
      <c r="AS9" s="61">
        <v>3</v>
      </c>
      <c r="AT9" s="51"/>
      <c r="AU9" s="54"/>
      <c r="AV9" s="54"/>
      <c r="AW9" s="54">
        <v>0</v>
      </c>
      <c r="AX9" s="54">
        <v>0.72199999999999998</v>
      </c>
      <c r="AY9" s="54">
        <v>0.72199999999999998</v>
      </c>
      <c r="AZ9" s="30">
        <v>0</v>
      </c>
      <c r="BA9" s="41">
        <f>SUM(AU9:AZ9)</f>
        <v>1.444</v>
      </c>
      <c r="BB9" s="30">
        <v>0.72199999999999998</v>
      </c>
      <c r="BC9" s="36">
        <v>0.72199999999999998</v>
      </c>
      <c r="BD9" s="30">
        <v>0.72199999999999998</v>
      </c>
      <c r="BE9" s="41">
        <v>0</v>
      </c>
      <c r="BF9" s="30">
        <v>0</v>
      </c>
      <c r="BG9" s="30">
        <v>0</v>
      </c>
      <c r="BH9" s="30">
        <v>0</v>
      </c>
      <c r="BI9" s="30">
        <v>0.72199999999999998</v>
      </c>
      <c r="BJ9" s="37">
        <v>5</v>
      </c>
      <c r="BN9" s="30">
        <v>0</v>
      </c>
    </row>
    <row r="10" spans="1:73" ht="11.25" customHeight="1" x14ac:dyDescent="0.25">
      <c r="B10" s="30" t="str">
        <f>Processes!B34</f>
        <v>ETCLEKUSI-N</v>
      </c>
      <c r="C10" s="30" t="str">
        <f>Processes!C34</f>
        <v>KUSILE</v>
      </c>
      <c r="D10" s="43" t="str">
        <f>"PWR"&amp;MID(B10,3,7)</f>
        <v>PWRCLEKUSI</v>
      </c>
      <c r="E10" s="30" t="s">
        <v>129</v>
      </c>
      <c r="F10" s="37" t="str">
        <f t="shared" ref="F10:F15" si="6">D10</f>
        <v>PWRCLEKUSI</v>
      </c>
      <c r="H10" s="41">
        <f>1/(9812/3600)</f>
        <v>0.36689767631471665</v>
      </c>
      <c r="I10" s="39"/>
      <c r="J10" s="39">
        <f>ProcDataGenPre2012!J10</f>
        <v>13.031476138327839</v>
      </c>
      <c r="K10" s="39">
        <f>ProcDataGenPre2012!K10</f>
        <v>543.03708177844862</v>
      </c>
      <c r="L10" s="60">
        <f>36529.0567969073*Deflator!AB3</f>
        <v>51359.853856451664</v>
      </c>
      <c r="M10" s="30">
        <v>-8</v>
      </c>
      <c r="N10" s="30">
        <v>50</v>
      </c>
      <c r="O10" s="30">
        <v>31.536000000000001</v>
      </c>
      <c r="P10" s="37">
        <v>277.77800000000002</v>
      </c>
      <c r="Q10" s="51">
        <f>'eskom production 2009-YTD'!W16/(AZ10*8.76)</f>
        <v>0.22150277119498554</v>
      </c>
      <c r="R10" s="51"/>
      <c r="S10" s="51"/>
      <c r="T10" s="51">
        <v>0.4</v>
      </c>
      <c r="U10" s="411">
        <v>0.05</v>
      </c>
      <c r="W10" s="51">
        <f>NERSA2018!Q31</f>
        <v>0.55218394942432913</v>
      </c>
      <c r="X10" s="51">
        <f t="shared" ref="X10" si="7">X9</f>
        <v>0.75639999999999996</v>
      </c>
      <c r="Y10" s="51"/>
      <c r="Z10" s="51"/>
      <c r="AA10" s="51"/>
      <c r="AB10" s="51"/>
      <c r="AC10" s="51"/>
      <c r="AD10" s="51"/>
      <c r="AE10" s="51"/>
      <c r="AF10" s="51"/>
      <c r="AG10" s="51"/>
      <c r="AH10" s="51"/>
      <c r="AI10" s="51"/>
      <c r="AJ10" s="51">
        <f t="shared" ref="AJ10:AL12" si="8">AJ9</f>
        <v>96.25</v>
      </c>
      <c r="AK10" s="54">
        <f t="shared" si="8"/>
        <v>1E-3</v>
      </c>
      <c r="AL10" s="358">
        <f t="shared" si="8"/>
        <v>1.5E-3</v>
      </c>
      <c r="AM10" s="63">
        <f>AM9*(1-0.93)</f>
        <v>6.5141416666666604E-2</v>
      </c>
      <c r="AN10" s="62">
        <f t="shared" ref="AN10:AP12" si="9">AN9</f>
        <v>0.19683611111111107</v>
      </c>
      <c r="AO10" s="62">
        <f t="shared" si="9"/>
        <v>0.02</v>
      </c>
      <c r="AP10" s="357">
        <f t="shared" si="9"/>
        <v>5.0000000000000001E-3</v>
      </c>
      <c r="AQ10" s="54">
        <f>HistoricalDispatch!$U$73</f>
        <v>4.5769644752755773E-2</v>
      </c>
      <c r="AR10" s="51"/>
      <c r="AS10" s="61">
        <v>3</v>
      </c>
      <c r="AT10" s="51"/>
      <c r="AY10" s="30">
        <v>0</v>
      </c>
      <c r="AZ10" s="30">
        <f>2.133/3</f>
        <v>0.71099999999999997</v>
      </c>
      <c r="BA10" s="41">
        <f>SUM(AU10:AZ10)</f>
        <v>0.71099999999999997</v>
      </c>
      <c r="BB10" s="30">
        <v>0</v>
      </c>
      <c r="BC10" s="30">
        <v>0</v>
      </c>
      <c r="BD10" s="36">
        <f>0.711*2</f>
        <v>1.4219999999999999</v>
      </c>
      <c r="BE10" s="41">
        <v>0</v>
      </c>
      <c r="BF10" s="30">
        <v>0</v>
      </c>
      <c r="BG10" s="30">
        <f>AZ10</f>
        <v>0.71099999999999997</v>
      </c>
      <c r="BH10" s="30">
        <f>BG10*2</f>
        <v>1.4219999999999999</v>
      </c>
      <c r="BI10" s="30">
        <v>0</v>
      </c>
      <c r="BJ10" s="37">
        <v>5</v>
      </c>
      <c r="BL10" s="30">
        <v>0</v>
      </c>
      <c r="BN10" s="30">
        <v>0</v>
      </c>
    </row>
    <row r="11" spans="1:73" ht="11.25" customHeight="1" x14ac:dyDescent="0.2">
      <c r="B11" s="30" t="str">
        <f>Processes!B35</f>
        <v>ETCLEWATE-N</v>
      </c>
      <c r="C11" s="30" t="str">
        <f>Processes!C35</f>
        <v>Generic Waterberg Coal Plant</v>
      </c>
      <c r="D11" s="43" t="str">
        <f>D9</f>
        <v>PWRCLEMEDU</v>
      </c>
      <c r="E11" s="30" t="s">
        <v>129</v>
      </c>
      <c r="F11" s="37" t="str">
        <f t="shared" si="6"/>
        <v>PWRCLEMEDU</v>
      </c>
      <c r="H11" s="41">
        <v>0.438</v>
      </c>
      <c r="I11" s="39"/>
      <c r="J11" s="39">
        <f>INDEX('IRP Costs'!$B$14:$AK$14,1,MATCH(C11,'IRP Costs'!$B$2:$AK$2,0))/3.6</f>
        <v>31.504666666666665</v>
      </c>
      <c r="K11" s="49">
        <f>INDEX('IRP Costs'!$B$13:$AK$13,1,MATCH($C11,'IRP Costs'!$B$2:$AK$2,0))</f>
        <v>1311.2639999999999</v>
      </c>
      <c r="L11" s="60">
        <f>INDEX('IRP Costs'!$B$17:$AK$17,1,MATCH($C11,'IRP Costs'!$B$2:$AK$2,0))</f>
        <v>55306.829600000005</v>
      </c>
      <c r="M11" s="30">
        <v>-4</v>
      </c>
      <c r="N11" s="30">
        <v>50</v>
      </c>
      <c r="O11" s="30">
        <v>31.536000000000001</v>
      </c>
      <c r="P11" s="37">
        <v>277.77800000000002</v>
      </c>
      <c r="Q11" s="51">
        <v>0.4</v>
      </c>
      <c r="R11" s="51"/>
      <c r="S11" s="51"/>
      <c r="T11" s="51"/>
      <c r="U11" s="51"/>
      <c r="V11" s="30">
        <v>0.8</v>
      </c>
      <c r="W11" s="51"/>
      <c r="X11" s="51"/>
      <c r="Y11" s="51"/>
      <c r="Z11" s="51"/>
      <c r="AA11" s="51"/>
      <c r="AB11" s="51"/>
      <c r="AC11" s="51"/>
      <c r="AD11" s="51"/>
      <c r="AE11" s="51"/>
      <c r="AF11" s="51"/>
      <c r="AG11" s="51"/>
      <c r="AH11" s="51"/>
      <c r="AI11" s="51"/>
      <c r="AJ11" s="51">
        <f t="shared" si="8"/>
        <v>96.25</v>
      </c>
      <c r="AK11" s="54">
        <f t="shared" si="8"/>
        <v>1E-3</v>
      </c>
      <c r="AL11" s="358">
        <f t="shared" si="8"/>
        <v>1.5E-3</v>
      </c>
      <c r="AM11" s="51">
        <f>AM10</f>
        <v>6.5141416666666604E-2</v>
      </c>
      <c r="AN11" s="51">
        <f t="shared" si="9"/>
        <v>0.19683611111111107</v>
      </c>
      <c r="AO11" s="51">
        <f t="shared" si="9"/>
        <v>0.02</v>
      </c>
      <c r="AP11" s="54">
        <f t="shared" si="9"/>
        <v>5.0000000000000001E-3</v>
      </c>
      <c r="AQ11" s="54">
        <f>HistoricalDispatch!$U$73</f>
        <v>4.5769644752755773E-2</v>
      </c>
      <c r="AR11" s="61">
        <v>2026</v>
      </c>
      <c r="AS11" s="61"/>
      <c r="AT11" s="61"/>
      <c r="BD11" s="37"/>
      <c r="BJ11" s="37"/>
    </row>
    <row r="12" spans="1:73" ht="11.25" customHeight="1" x14ac:dyDescent="0.2">
      <c r="B12" s="30" t="str">
        <f>Processes!B36</f>
        <v>ETCLE-CCS-N</v>
      </c>
      <c r="C12" s="30" t="str">
        <f>Processes!C36</f>
        <v>Generic Waterberg Coal Plant with CCS</v>
      </c>
      <c r="D12" s="43" t="str">
        <f>D11</f>
        <v>PWRCLEMEDU</v>
      </c>
      <c r="E12" s="30" t="s">
        <v>129</v>
      </c>
      <c r="F12" s="37" t="str">
        <f t="shared" si="6"/>
        <v>PWRCLEMEDU</v>
      </c>
      <c r="H12" s="41">
        <f>'IRP Costs'!L18-'IRP Costs'!B18+H11</f>
        <v>0.32631287238796308</v>
      </c>
      <c r="I12" s="39"/>
      <c r="J12" s="39">
        <f>INDEX('IRP Costs'!$B$14:$AK$14,1,MATCH(C12,'IRP Costs'!$B$2:$AK$2,0))/3.6</f>
        <v>58.124888888888883</v>
      </c>
      <c r="K12" s="49">
        <f>INDEX('IRP Costs'!$B$13:$AK$13,1,MATCH($C12,'IRP Costs'!$B$2:$AK$2,0))</f>
        <v>2235.6799999999998</v>
      </c>
      <c r="L12" s="60">
        <f>INDEX('IRP Costs'!$B$17:$AK$17,1,MATCH($C12,'IRP Costs'!$B$2:$AK$2,0))</f>
        <v>106982.81440000002</v>
      </c>
      <c r="M12" s="30">
        <v>-4</v>
      </c>
      <c r="N12" s="30">
        <v>50</v>
      </c>
      <c r="O12" s="30">
        <v>31.536000000000001</v>
      </c>
      <c r="P12" s="37">
        <v>277.77800000000002</v>
      </c>
      <c r="Q12" s="51">
        <v>0.4</v>
      </c>
      <c r="R12" s="51"/>
      <c r="S12" s="51"/>
      <c r="T12" s="51"/>
      <c r="U12" s="51"/>
      <c r="V12" s="30">
        <v>0.8</v>
      </c>
      <c r="W12" s="51"/>
      <c r="X12" s="51"/>
      <c r="Y12" s="51"/>
      <c r="Z12" s="51"/>
      <c r="AA12" s="51"/>
      <c r="AB12" s="51"/>
      <c r="AC12" s="51"/>
      <c r="AD12" s="51"/>
      <c r="AE12" s="51"/>
      <c r="AF12" s="51"/>
      <c r="AG12" s="51"/>
      <c r="AH12" s="51"/>
      <c r="AI12" s="51"/>
      <c r="AJ12" s="51">
        <f>AJ11*'IRP Costs'!M22</f>
        <v>9.6290075399850092</v>
      </c>
      <c r="AK12" s="54">
        <f t="shared" si="8"/>
        <v>1E-3</v>
      </c>
      <c r="AL12" s="358">
        <f t="shared" si="8"/>
        <v>1.5E-3</v>
      </c>
      <c r="AM12" s="51">
        <f>AM11</f>
        <v>6.5141416666666604E-2</v>
      </c>
      <c r="AN12" s="51">
        <f>AN11*'IRP Costs'!M26</f>
        <v>2.9641897186885938E-2</v>
      </c>
      <c r="AO12" s="51">
        <f t="shared" si="9"/>
        <v>0.02</v>
      </c>
      <c r="AP12" s="54">
        <f>AP11*'IRP Costs'!M28</f>
        <v>4.8156267382128718E-3</v>
      </c>
      <c r="AQ12" s="54">
        <f>HistoricalDispatch!$U$73</f>
        <v>4.5769644752755773E-2</v>
      </c>
      <c r="AR12" s="61">
        <v>2030</v>
      </c>
      <c r="AS12" s="61"/>
      <c r="AT12" s="61"/>
      <c r="BD12" s="37"/>
      <c r="BJ12" s="37"/>
    </row>
    <row r="13" spans="1:73" ht="11.25" customHeight="1" x14ac:dyDescent="0.2">
      <c r="B13" s="30" t="str">
        <f>Processes!B37</f>
        <v>EPTSTO-N</v>
      </c>
      <c r="C13" s="30" t="str">
        <f>Processes!C37</f>
        <v>Pumped Storage New Ingula - Single Storage Tech</v>
      </c>
      <c r="D13" s="30" t="s">
        <v>129</v>
      </c>
      <c r="E13" s="30" t="s">
        <v>129</v>
      </c>
      <c r="I13" s="30">
        <v>0.78</v>
      </c>
      <c r="J13" s="39"/>
      <c r="K13" s="49">
        <f>INDEX('IRP Costs'!$B$13:$AK$13,1,MATCH($C13,'IRP Costs'!$B$2:$AK$2,0))</f>
        <v>257.4441877726066</v>
      </c>
      <c r="L13" s="60">
        <f>22451*Deflator!AB3</f>
        <v>31566.106</v>
      </c>
      <c r="M13" s="30">
        <v>-6</v>
      </c>
      <c r="N13" s="30">
        <v>50</v>
      </c>
      <c r="O13" s="30">
        <v>31.536000000000001</v>
      </c>
      <c r="Q13" s="51"/>
      <c r="R13" s="51"/>
      <c r="S13" s="51"/>
      <c r="T13" s="51"/>
      <c r="U13" s="51"/>
      <c r="AI13" s="30">
        <v>0.65700000000000003</v>
      </c>
      <c r="AK13" s="41"/>
      <c r="AL13" s="359"/>
      <c r="AS13" s="61">
        <v>3</v>
      </c>
      <c r="AT13" s="51">
        <f>SUM(AX13:AZ13)+(PumpStorage!I4+PumpStorage!J4)/1000</f>
        <v>4.0200000000000005</v>
      </c>
      <c r="AX13" s="30">
        <v>0</v>
      </c>
      <c r="AY13" s="30">
        <v>0.99</v>
      </c>
      <c r="AZ13" s="30">
        <v>0.33</v>
      </c>
      <c r="BA13" s="41">
        <f>SUM(AU13:AZ13)</f>
        <v>1.32</v>
      </c>
      <c r="BB13" s="30">
        <v>0</v>
      </c>
      <c r="BC13" s="30">
        <v>0</v>
      </c>
      <c r="BD13" s="30">
        <v>0</v>
      </c>
      <c r="BE13" s="41">
        <v>0</v>
      </c>
      <c r="BF13" s="30">
        <v>0</v>
      </c>
      <c r="BG13" s="30">
        <v>0</v>
      </c>
      <c r="BH13" s="30">
        <v>0</v>
      </c>
      <c r="BI13" s="30">
        <v>0</v>
      </c>
      <c r="BJ13" s="37">
        <v>5</v>
      </c>
      <c r="BL13" s="30">
        <v>0</v>
      </c>
      <c r="BM13" s="30">
        <v>0</v>
      </c>
      <c r="BN13" s="30">
        <v>5</v>
      </c>
    </row>
    <row r="14" spans="1:73" ht="11.25" customHeight="1" x14ac:dyDescent="0.2">
      <c r="B14" s="30" t="str">
        <f>Processes!B38</f>
        <v>ETODSGT-N</v>
      </c>
      <c r="C14" s="30" t="str">
        <f>Processes!C38</f>
        <v>DOE Peakers</v>
      </c>
      <c r="D14" s="30" t="s">
        <v>333</v>
      </c>
      <c r="E14" s="30" t="s">
        <v>129</v>
      </c>
      <c r="F14" s="37" t="str">
        <f t="shared" si="6"/>
        <v>PWRODS</v>
      </c>
      <c r="H14" s="30">
        <v>0.313</v>
      </c>
      <c r="J14" s="39">
        <f>J23</f>
        <v>0.94200000000000006</v>
      </c>
      <c r="K14" s="49">
        <f>K23</f>
        <v>227.33600000000001</v>
      </c>
      <c r="L14" s="60">
        <f>L23</f>
        <v>12746.641600000001</v>
      </c>
      <c r="M14" s="30">
        <v>-2</v>
      </c>
      <c r="N14" s="30">
        <v>30</v>
      </c>
      <c r="O14" s="30">
        <v>31.536000000000001</v>
      </c>
      <c r="Q14" s="54">
        <f>HistoricalDispatch!H22</f>
        <v>2.9606004647677766E-3</v>
      </c>
      <c r="R14" s="54">
        <f>HistoricalDispatch!H23</f>
        <v>2.8781988551988529E-2</v>
      </c>
      <c r="S14" s="54">
        <f>HistoricalDispatch!H24</f>
        <v>7.090683283222167E-2</v>
      </c>
      <c r="T14" s="51"/>
      <c r="U14" s="51"/>
      <c r="V14" s="30">
        <v>0.8</v>
      </c>
      <c r="AJ14" s="51"/>
      <c r="AK14" s="54"/>
      <c r="AL14" s="54"/>
      <c r="AM14" s="54"/>
      <c r="AN14" s="54"/>
      <c r="AO14" s="54"/>
      <c r="AP14" s="54"/>
      <c r="AQ14" s="54"/>
      <c r="AS14" s="61">
        <v>3</v>
      </c>
      <c r="AT14" s="51">
        <f>SUM(AU14:BD14)</f>
        <v>2.0100000000000002</v>
      </c>
      <c r="AW14" s="30">
        <v>0</v>
      </c>
      <c r="AX14" s="30">
        <v>0.33500000000000002</v>
      </c>
      <c r="AY14" s="30">
        <v>0.67</v>
      </c>
      <c r="AZ14" s="30">
        <v>0</v>
      </c>
      <c r="BA14" s="41">
        <f>SUM(AU14:AZ14)</f>
        <v>1.0050000000000001</v>
      </c>
      <c r="BE14" s="41"/>
      <c r="BJ14" s="37"/>
    </row>
    <row r="15" spans="1:73" ht="11.25" customHeight="1" x14ac:dyDescent="0.25">
      <c r="B15" s="30" t="str">
        <f>Processes!B39</f>
        <v>ETCLDFB-N</v>
      </c>
      <c r="C15" s="30" t="str">
        <f>Processes!C39</f>
        <v>Fluidised Bed Combustion Coal</v>
      </c>
      <c r="D15" s="30" t="s">
        <v>373</v>
      </c>
      <c r="E15" s="30" t="s">
        <v>129</v>
      </c>
      <c r="F15" s="37" t="str">
        <f t="shared" si="6"/>
        <v>PWRCLD</v>
      </c>
      <c r="H15" s="30">
        <v>0.36</v>
      </c>
      <c r="J15" s="39">
        <f>INDEX('IRP Costs'!$B$14:$AK$14,1,MATCH(C15,'IRP Costs'!$B$2:$AK$2,0))/3.6</f>
        <v>68.172888888888892</v>
      </c>
      <c r="K15" s="49">
        <f>INDEX('IRP Costs'!$B$13:$AK$13,1,MATCH($C15,'IRP Costs'!$B$2:$AK$2,0))</f>
        <v>881.71199999999999</v>
      </c>
      <c r="L15" s="60">
        <f>'IRP Costs'!C17</f>
        <v>66757.530400000003</v>
      </c>
      <c r="M15" s="30">
        <v>-4</v>
      </c>
      <c r="N15" s="30">
        <v>50</v>
      </c>
      <c r="O15" s="30">
        <v>31.536000000000001</v>
      </c>
      <c r="P15" s="37">
        <v>277.77800000000002</v>
      </c>
      <c r="Q15" s="54">
        <v>0.79</v>
      </c>
      <c r="R15" s="51"/>
      <c r="S15" s="51"/>
      <c r="T15" s="51"/>
      <c r="U15" s="51"/>
      <c r="V15" s="30">
        <v>0.8</v>
      </c>
      <c r="AJ15" s="51"/>
      <c r="AK15" s="54"/>
      <c r="AL15" s="357"/>
      <c r="AM15" s="54"/>
      <c r="AN15" s="54"/>
      <c r="AO15" s="54"/>
      <c r="AP15" s="54"/>
      <c r="AQ15" s="54"/>
      <c r="AR15" s="61">
        <v>2026</v>
      </c>
      <c r="AS15" s="54"/>
      <c r="AT15" s="54"/>
      <c r="BJ15" s="37"/>
    </row>
    <row r="16" spans="1:73" ht="11.25" customHeight="1" x14ac:dyDescent="0.2">
      <c r="B16" s="30" t="str">
        <f>Processes!B40</f>
        <v>ERHYD-N</v>
      </c>
      <c r="C16" s="30" t="str">
        <f>Processes!C40</f>
        <v>Micro hydro</v>
      </c>
      <c r="D16" s="30" t="s">
        <v>332</v>
      </c>
      <c r="E16" s="30" t="s">
        <v>129</v>
      </c>
      <c r="H16" s="30">
        <v>1</v>
      </c>
      <c r="J16" s="39">
        <f>INDEX('IRP Costs'!$B$14:$AK$14,1,MATCH(C16,'IRP Costs'!$B$2:$AK$2,0))</f>
        <v>0</v>
      </c>
      <c r="L16" s="60">
        <f>'IRP Costs'!AK17</f>
        <v>16191.724</v>
      </c>
      <c r="M16" s="30">
        <v>-2</v>
      </c>
      <c r="N16" s="30">
        <v>50</v>
      </c>
      <c r="O16" s="30">
        <v>31.536000000000001</v>
      </c>
      <c r="Q16" s="51"/>
      <c r="R16" s="51"/>
      <c r="S16" s="51"/>
      <c r="T16" s="51"/>
      <c r="U16" s="51"/>
      <c r="V16" s="39">
        <f>ProcDataGenPre2012!R27</f>
        <v>0.12001708037216328</v>
      </c>
      <c r="AR16" s="61"/>
      <c r="AS16" s="30">
        <v>3</v>
      </c>
      <c r="AT16" s="30">
        <v>0.01</v>
      </c>
      <c r="BA16" s="30">
        <v>4.4999999999999997E-3</v>
      </c>
      <c r="BJ16" s="37"/>
    </row>
    <row r="17" spans="1:68" ht="11.25" customHeight="1" x14ac:dyDescent="0.2">
      <c r="B17" s="30" t="str">
        <f>Processes!B41</f>
        <v>ETNUC-N</v>
      </c>
      <c r="C17" s="30" t="str">
        <f>Processes!C41</f>
        <v>Nuclear Mid</v>
      </c>
      <c r="D17" s="30" t="s">
        <v>331</v>
      </c>
      <c r="E17" s="30" t="s">
        <v>129</v>
      </c>
      <c r="H17" s="30">
        <v>0.34799999999999998</v>
      </c>
      <c r="J17" s="39">
        <f>INDEX('IRP Costs'!$B$14:$AK$14,1,MATCH(C17,'IRP Costs'!$B$2:$AK$2,0))/3.6</f>
        <v>14.566111111111111</v>
      </c>
      <c r="K17" s="49">
        <f>INDEX('IRP Costs'!$B$13:$AK$13,1,MATCH($C17,'IRP Costs'!$B$2:$AK$2,0))</f>
        <v>1373.4359999999999</v>
      </c>
      <c r="L17" s="60">
        <f>INDEX('IRP Costs'!$B$17:$AK$17,1,MATCH($C17,'IRP Costs'!$B$2:$AK$2,0))</f>
        <v>96386.011480000016</v>
      </c>
      <c r="M17" s="30">
        <v>-8</v>
      </c>
      <c r="N17" s="30">
        <v>60</v>
      </c>
      <c r="O17" s="30">
        <v>31.536000000000001</v>
      </c>
      <c r="P17" s="37">
        <v>277.77800000000002</v>
      </c>
      <c r="Q17" s="51"/>
      <c r="R17" s="51"/>
      <c r="S17" s="51"/>
      <c r="T17" s="51"/>
      <c r="U17" s="51"/>
      <c r="V17" s="30">
        <v>0.85</v>
      </c>
      <c r="AR17" s="61">
        <v>2030</v>
      </c>
      <c r="BJ17" s="37"/>
    </row>
    <row r="18" spans="1:68" ht="11.25" customHeight="1" x14ac:dyDescent="0.2">
      <c r="B18" s="30" t="str">
        <f>Processes!B42</f>
        <v>ERSOLTC09-N</v>
      </c>
      <c r="C18" s="30" t="str">
        <f>Processes!C42</f>
        <v>Solar Central Receiver 09 hrs storage</v>
      </c>
      <c r="D18" s="30" t="s">
        <v>366</v>
      </c>
      <c r="E18" s="30" t="s">
        <v>129</v>
      </c>
      <c r="H18" s="30">
        <v>1</v>
      </c>
      <c r="J18" s="39">
        <f>INDEX('IRP Costs'!$B$14:$AK$14,1,MATCH(C18,'IRP Costs'!$B$2:$AK$2,0))/3.6</f>
        <v>0.34888888888888886</v>
      </c>
      <c r="L18" s="60"/>
      <c r="M18" s="30">
        <v>-3</v>
      </c>
      <c r="N18" s="30">
        <v>30</v>
      </c>
      <c r="O18" s="30">
        <v>31.536000000000001</v>
      </c>
      <c r="Q18" s="51"/>
      <c r="R18" s="51"/>
      <c r="S18" s="51"/>
      <c r="T18" s="51"/>
      <c r="U18" s="51"/>
      <c r="AR18" s="61"/>
      <c r="AW18" s="30">
        <f>REIPPP!F139</f>
        <v>0</v>
      </c>
      <c r="AX18" s="30">
        <f>REIPPP!G139</f>
        <v>0.1</v>
      </c>
      <c r="AY18" s="30">
        <f>REIPPP!H139</f>
        <v>0.05</v>
      </c>
      <c r="AZ18" s="30">
        <f>REIPPP!I139</f>
        <v>0.05</v>
      </c>
      <c r="BA18" s="41">
        <f t="shared" ref="BA18:BA21" si="10">SUM(AU18:AZ18)</f>
        <v>0.2</v>
      </c>
      <c r="BB18" s="30">
        <f>REIPPP!J139</f>
        <v>0.1</v>
      </c>
      <c r="BC18" s="30">
        <f>REIPPP!K139</f>
        <v>0.2</v>
      </c>
      <c r="BD18" s="30">
        <f>REIPPP!L139</f>
        <v>0</v>
      </c>
      <c r="BE18" s="41">
        <v>0</v>
      </c>
      <c r="BF18" s="30">
        <f>REIPPP!N139</f>
        <v>0</v>
      </c>
      <c r="BG18" s="30">
        <v>0</v>
      </c>
      <c r="BH18" s="323">
        <v>0.1</v>
      </c>
      <c r="BI18" s="323">
        <v>0</v>
      </c>
      <c r="BJ18" s="37"/>
    </row>
    <row r="19" spans="1:68" ht="11.25" customHeight="1" x14ac:dyDescent="0.2">
      <c r="B19" s="30" t="str">
        <f>Processes!B43</f>
        <v>ERSOLPCF-N</v>
      </c>
      <c r="C19" s="30" t="str">
        <f>Processes!C43</f>
        <v>Solar PV Fixed</v>
      </c>
      <c r="D19" s="30" t="s">
        <v>366</v>
      </c>
      <c r="E19" s="30" t="s">
        <v>129</v>
      </c>
      <c r="H19" s="30">
        <v>1</v>
      </c>
      <c r="J19" s="39">
        <f>INDEX('IRP Costs'!$B$14:$AK$14,1,MATCH(C19,'IRP Costs'!$B$2:$AK$2,0))/3.6</f>
        <v>0</v>
      </c>
      <c r="K19" s="49">
        <f>INDEX('IRP Costs'!$B$13:$AK$13,1,MATCH($C19,'IRP Costs'!$B$2:$AK$2,0))</f>
        <v>379.31200000000001</v>
      </c>
      <c r="L19" s="60"/>
      <c r="M19" s="30">
        <v>-1</v>
      </c>
      <c r="N19" s="30">
        <v>25</v>
      </c>
      <c r="O19" s="30">
        <v>31.536000000000001</v>
      </c>
      <c r="Q19" s="51"/>
      <c r="R19" s="51"/>
      <c r="S19" s="51"/>
      <c r="T19" s="51"/>
      <c r="U19" s="51"/>
      <c r="AR19" s="61"/>
      <c r="AW19" s="30">
        <f>REIPPP!F136</f>
        <v>0.19</v>
      </c>
      <c r="AX19" s="30">
        <f>REIPPP!G136</f>
        <v>0.33400000000000002</v>
      </c>
      <c r="AY19" s="30">
        <f>REIPPP!H136</f>
        <v>5.0000000000000001E-3</v>
      </c>
      <c r="AZ19" s="30">
        <f>REIPPP!I136</f>
        <v>0.435</v>
      </c>
      <c r="BA19" s="41">
        <f t="shared" si="10"/>
        <v>0.96399999999999997</v>
      </c>
      <c r="BB19" s="30">
        <f>REIPPP!J136</f>
        <v>0</v>
      </c>
      <c r="BC19" s="30">
        <f>REIPPP!K136</f>
        <v>0</v>
      </c>
      <c r="BD19" s="30">
        <f>REIPPP!L136</f>
        <v>0</v>
      </c>
      <c r="BE19" s="41">
        <v>0</v>
      </c>
      <c r="BF19" s="30">
        <f>REIPPP!N136</f>
        <v>0</v>
      </c>
      <c r="BG19" s="30">
        <v>0</v>
      </c>
      <c r="BH19" s="30">
        <v>0</v>
      </c>
      <c r="BJ19" s="37"/>
    </row>
    <row r="20" spans="1:68" ht="11.25" customHeight="1" x14ac:dyDescent="0.2">
      <c r="B20" s="30" t="str">
        <f>Processes!B44</f>
        <v>ERSOLPCT-N</v>
      </c>
      <c r="C20" s="30" t="str">
        <f>Processes!C44</f>
        <v>Solar PV tracking</v>
      </c>
      <c r="D20" s="30" t="s">
        <v>366</v>
      </c>
      <c r="E20" s="30" t="s">
        <v>129</v>
      </c>
      <c r="H20" s="30">
        <v>1</v>
      </c>
      <c r="J20" s="39">
        <f>INDEX('IRP Costs'!$B$14:$AK$14,1,MATCH(C20,'IRP Costs'!$B$2:$AK$2,0))/3.6</f>
        <v>0</v>
      </c>
      <c r="K20" s="49">
        <f>INDEX('IRP Costs'!$B$13:$AK$13,1,MATCH($C20,'IRP Costs'!$B$2:$AK$2,0))</f>
        <v>401.92</v>
      </c>
      <c r="L20" s="60"/>
      <c r="M20" s="30">
        <v>-1</v>
      </c>
      <c r="N20" s="30">
        <v>25</v>
      </c>
      <c r="O20" s="30">
        <v>31.536000000000001</v>
      </c>
      <c r="Q20" s="51"/>
      <c r="R20" s="51"/>
      <c r="S20" s="51"/>
      <c r="T20" s="51"/>
      <c r="U20" s="51"/>
      <c r="AR20" s="61"/>
      <c r="AW20" s="30">
        <f>REIPPP!F137</f>
        <v>0.02</v>
      </c>
      <c r="AX20" s="30">
        <f>REIPPP!G137</f>
        <v>0.41899999999999998</v>
      </c>
      <c r="AY20" s="30">
        <f>REIPPP!H137</f>
        <v>0</v>
      </c>
      <c r="AZ20" s="30">
        <f>REIPPP!I137</f>
        <v>7.4999999999999997E-2</v>
      </c>
      <c r="BA20" s="41">
        <f t="shared" si="10"/>
        <v>0.51400000000000001</v>
      </c>
      <c r="BB20" s="30">
        <f>REIPPP!J137</f>
        <v>0</v>
      </c>
      <c r="BC20" s="30">
        <f>REIPPP!K137</f>
        <v>0</v>
      </c>
      <c r="BD20" s="30">
        <f>REIPPP!L137</f>
        <v>0</v>
      </c>
      <c r="BE20" s="30">
        <f>REIPPP!M137</f>
        <v>0.68300000000000005</v>
      </c>
      <c r="BF20" s="30">
        <f>REIPPP!N137</f>
        <v>5.5E-2</v>
      </c>
      <c r="BG20" s="30">
        <v>1.325</v>
      </c>
      <c r="BH20" s="30">
        <v>1.62</v>
      </c>
      <c r="BJ20" s="37"/>
      <c r="BL20" s="30">
        <v>2.5</v>
      </c>
      <c r="BM20" s="30">
        <v>2.5</v>
      </c>
    </row>
    <row r="21" spans="1:68" ht="11.25" customHeight="1" x14ac:dyDescent="0.2">
      <c r="B21" s="30" t="str">
        <f>Processes!B45</f>
        <v>ERWNDH-N</v>
      </c>
      <c r="C21" s="30" t="str">
        <f>Processes!C45</f>
        <v>Wind</v>
      </c>
      <c r="D21" s="30" t="s">
        <v>372</v>
      </c>
      <c r="E21" s="30" t="s">
        <v>129</v>
      </c>
      <c r="H21" s="30">
        <v>1</v>
      </c>
      <c r="J21" s="39">
        <f>INDEX('IRP Costs'!$B$14:$AK$14,1,MATCH(C21,'IRP Costs'!$B$2:$AK$2,0))/3.6</f>
        <v>0</v>
      </c>
      <c r="K21" s="49">
        <f>INDEX('IRP Costs'!$B$13:$AK$13,1,MATCH($C21,'IRP Costs'!$B$2:$AK$2,0))</f>
        <v>859.10400000000004</v>
      </c>
      <c r="L21" s="60"/>
      <c r="M21" s="30">
        <v>-2</v>
      </c>
      <c r="N21" s="30">
        <v>20</v>
      </c>
      <c r="O21" s="30">
        <v>31.536000000000001</v>
      </c>
      <c r="Q21" s="51"/>
      <c r="R21" s="51"/>
      <c r="S21" s="51"/>
      <c r="T21" s="51"/>
      <c r="U21" s="51"/>
      <c r="AR21" s="61"/>
      <c r="AW21" s="30">
        <f>REIPPP!F138</f>
        <v>0.25700000000000001</v>
      </c>
      <c r="AX21" s="30">
        <f>REIPPP!G138</f>
        <v>0.371</v>
      </c>
      <c r="AY21" s="30">
        <f>REIPPP!H138</f>
        <v>0.55100000000000005</v>
      </c>
      <c r="AZ21" s="30">
        <f>REIPPP!I138</f>
        <v>0.39400000000000002</v>
      </c>
      <c r="BA21" s="41">
        <f t="shared" si="10"/>
        <v>1.573</v>
      </c>
      <c r="BB21" s="30">
        <f>REIPPP!J138</f>
        <v>0.621</v>
      </c>
      <c r="BC21" s="30">
        <f>REIPPP!K138</f>
        <v>0</v>
      </c>
      <c r="BD21" s="30">
        <f>REIPPP!L138</f>
        <v>0</v>
      </c>
      <c r="BE21" s="30">
        <f>REIPPP!M138</f>
        <v>0.41599999999999998</v>
      </c>
      <c r="BF21" s="30">
        <f>REIPPP!N138</f>
        <v>0.52800000000000002</v>
      </c>
      <c r="BG21" s="30">
        <v>7.0000000000000007E-2</v>
      </c>
      <c r="BH21" s="30">
        <v>1.256</v>
      </c>
      <c r="BJ21" s="37"/>
      <c r="BL21" s="30">
        <v>0.36199999999999999</v>
      </c>
      <c r="BM21" s="30">
        <v>2.5</v>
      </c>
    </row>
    <row r="22" spans="1:68" ht="11.25" customHeight="1" x14ac:dyDescent="0.2">
      <c r="B22" s="30" t="str">
        <f>Processes!B46</f>
        <v>ERHYDGIW-I</v>
      </c>
      <c r="C22" s="30" t="s">
        <v>2437</v>
      </c>
      <c r="E22" s="30" t="s">
        <v>129</v>
      </c>
      <c r="G22" s="30">
        <v>1</v>
      </c>
      <c r="J22" s="39"/>
      <c r="L22" s="60">
        <f>(2415+4000/2.5)*19.248</f>
        <v>77280.72</v>
      </c>
      <c r="M22" s="30">
        <v>-5</v>
      </c>
      <c r="N22" s="30">
        <v>50</v>
      </c>
      <c r="O22" s="30">
        <v>31.536000000000001</v>
      </c>
      <c r="Q22" s="51"/>
      <c r="R22" s="51"/>
      <c r="S22" s="51"/>
      <c r="T22" s="51"/>
      <c r="U22" s="51"/>
      <c r="V22" s="30">
        <v>0.78</v>
      </c>
      <c r="AR22" s="61">
        <v>2025</v>
      </c>
      <c r="AS22" s="61">
        <v>3</v>
      </c>
      <c r="AT22" s="30">
        <v>2.5</v>
      </c>
      <c r="BG22" s="30">
        <v>0.15</v>
      </c>
      <c r="BI22" s="30">
        <v>0.80500000000000005</v>
      </c>
      <c r="BJ22" s="37"/>
      <c r="BM22" s="30">
        <v>1.1000000000000001</v>
      </c>
    </row>
    <row r="23" spans="1:68" ht="11.25" customHeight="1" x14ac:dyDescent="0.2">
      <c r="B23" s="30" t="str">
        <f>Processes!B47</f>
        <v>ETGICGT-N</v>
      </c>
      <c r="C23" s="30" t="str">
        <f>Processes!C47</f>
        <v>Open Cycle Gas Turbine - LNG</v>
      </c>
      <c r="D23" s="30" t="s">
        <v>371</v>
      </c>
      <c r="E23" s="30" t="s">
        <v>129</v>
      </c>
      <c r="F23" s="37" t="str">
        <f t="shared" ref="F23:F27" si="11">D23</f>
        <v>PWRGIC</v>
      </c>
      <c r="H23" s="30">
        <v>0.313</v>
      </c>
      <c r="J23" s="39">
        <f>INDEX('IRP Costs'!$B$14:$AK$14,1,MATCH(C23,'IRP Costs'!$B$2:$AK$2,0))/3.6</f>
        <v>0.94200000000000006</v>
      </c>
      <c r="K23" s="49">
        <f>INDEX('IRP Costs'!$B$13:$AK$13,1,MATCH($C23,'IRP Costs'!$B$2:$AK$2,0))</f>
        <v>227.33600000000001</v>
      </c>
      <c r="L23" s="60">
        <f>INDEX('IRP Costs'!$B$17:$AK$17,1,MATCH($C23,'IRP Costs'!$B$2:$AK$2,0))</f>
        <v>12746.641600000001</v>
      </c>
      <c r="M23" s="30">
        <v>-2</v>
      </c>
      <c r="N23" s="30">
        <v>30</v>
      </c>
      <c r="O23" s="30">
        <v>31.536000000000001</v>
      </c>
      <c r="P23" s="37">
        <v>277.77800000000002</v>
      </c>
      <c r="Q23" s="411">
        <v>0.05</v>
      </c>
      <c r="R23" s="51"/>
      <c r="S23" s="51"/>
      <c r="T23" s="51"/>
      <c r="U23" s="51"/>
      <c r="V23" s="30">
        <v>0.85</v>
      </c>
      <c r="AJ23" s="30">
        <v>56.1</v>
      </c>
      <c r="AK23" s="30">
        <v>1E-3</v>
      </c>
      <c r="AL23" s="30">
        <v>1E-4</v>
      </c>
      <c r="AM23" s="30">
        <v>0</v>
      </c>
      <c r="AN23" s="30">
        <v>0.15</v>
      </c>
      <c r="AO23" s="30">
        <v>0.02</v>
      </c>
      <c r="AP23" s="30">
        <v>5.0000000000000001E-3</v>
      </c>
      <c r="AR23" s="61">
        <v>2025</v>
      </c>
      <c r="BJ23" s="37"/>
    </row>
    <row r="24" spans="1:68" ht="11.25" customHeight="1" x14ac:dyDescent="0.2">
      <c r="B24" s="30" t="str">
        <f>Processes!B48</f>
        <v>ETHGNGT-N</v>
      </c>
      <c r="C24" s="30" t="str">
        <f>Processes!C48</f>
        <v>Hydrogen Turbine or FuelCell</v>
      </c>
      <c r="D24" s="30" t="s">
        <v>1880</v>
      </c>
      <c r="E24" s="30" t="s">
        <v>129</v>
      </c>
      <c r="H24" s="410">
        <f>NBI_NREL_etc!F189</f>
        <v>0.5</v>
      </c>
      <c r="J24" s="39">
        <f>NBI_NREL_etc!F188</f>
        <v>110.34488888888889</v>
      </c>
      <c r="K24" s="49"/>
      <c r="L24" s="60">
        <f>NBI_NREL_etc!F186</f>
        <v>34758.640000000007</v>
      </c>
      <c r="M24" s="30">
        <v>-2</v>
      </c>
      <c r="N24" s="30">
        <v>30</v>
      </c>
      <c r="O24" s="30">
        <v>31.536000000000001</v>
      </c>
      <c r="P24" s="37">
        <v>277.77800000000002</v>
      </c>
      <c r="Q24" s="411">
        <v>0.05</v>
      </c>
      <c r="R24" s="51"/>
      <c r="S24" s="51"/>
      <c r="T24" s="51"/>
      <c r="U24" s="51"/>
      <c r="V24" s="30">
        <v>0.85</v>
      </c>
      <c r="AR24" s="61">
        <v>2026</v>
      </c>
      <c r="BJ24" s="37"/>
    </row>
    <row r="25" spans="1:68" ht="11.25" customHeight="1" x14ac:dyDescent="0.2">
      <c r="B25" s="30" t="str">
        <f>Processes!B49</f>
        <v>ETGICCC-N</v>
      </c>
      <c r="C25" s="30" t="str">
        <f>Processes!C49</f>
        <v>Combined Cycle Gas Turbine - LNG</v>
      </c>
      <c r="D25" s="30" t="s">
        <v>371</v>
      </c>
      <c r="E25" s="30" t="s">
        <v>129</v>
      </c>
      <c r="F25" s="37" t="str">
        <f t="shared" si="11"/>
        <v>PWRGIC</v>
      </c>
      <c r="H25" s="30">
        <v>0.48699999999999999</v>
      </c>
      <c r="J25" s="39">
        <f>INDEX('IRP Costs'!$B$14:$AK$14,1,MATCH(C25,'IRP Costs'!$B$2:$AK$2,0))/3.6</f>
        <v>8.6175555555555547</v>
      </c>
      <c r="K25" s="49">
        <f>INDEX('IRP Costs'!$B$13:$AK$13,1,MATCH($C25,'IRP Costs'!$B$2:$AK$2,0))</f>
        <v>234.87200000000001</v>
      </c>
      <c r="L25" s="60">
        <f>INDEX('IRP Costs'!$B$17:$AK$17,1,MATCH($C25,'IRP Costs'!$B$2:$AK$2,0))</f>
        <v>13996.989600000001</v>
      </c>
      <c r="M25" s="30">
        <f>M24</f>
        <v>-2</v>
      </c>
      <c r="N25" s="30">
        <v>30</v>
      </c>
      <c r="O25" s="30">
        <v>31.536000000000001</v>
      </c>
      <c r="P25" s="37">
        <v>277.77800000000002</v>
      </c>
      <c r="Q25" s="411">
        <v>0.1</v>
      </c>
      <c r="R25" s="51"/>
      <c r="S25" s="51"/>
      <c r="T25" s="51"/>
      <c r="U25" s="51"/>
      <c r="V25" s="30">
        <v>0.85</v>
      </c>
      <c r="AJ25" s="30">
        <f>AJ23</f>
        <v>56.1</v>
      </c>
      <c r="AK25" s="30">
        <f t="shared" ref="AK25:AP25" si="12">AK23</f>
        <v>1E-3</v>
      </c>
      <c r="AL25" s="30">
        <f t="shared" si="12"/>
        <v>1E-4</v>
      </c>
      <c r="AM25" s="30">
        <f t="shared" si="12"/>
        <v>0</v>
      </c>
      <c r="AN25" s="30">
        <f t="shared" si="12"/>
        <v>0.15</v>
      </c>
      <c r="AO25" s="30">
        <f t="shared" si="12"/>
        <v>0.02</v>
      </c>
      <c r="AP25" s="30">
        <f t="shared" si="12"/>
        <v>5.0000000000000001E-3</v>
      </c>
      <c r="AR25" s="61">
        <v>2026</v>
      </c>
      <c r="BJ25" s="37"/>
    </row>
    <row r="26" spans="1:68" ht="11.25" customHeight="1" x14ac:dyDescent="0.2">
      <c r="B26" s="30" t="str">
        <f>Processes!B50</f>
        <v>ETGICCC-CCS-N</v>
      </c>
      <c r="C26" s="30" t="str">
        <f>Processes!C50</f>
        <v>Combined Cycle Gas Turbine - LNG with CCS</v>
      </c>
      <c r="D26" s="30" t="s">
        <v>371</v>
      </c>
      <c r="E26" s="30" t="s">
        <v>129</v>
      </c>
      <c r="F26" s="37" t="str">
        <f t="shared" si="11"/>
        <v>PWRGIC</v>
      </c>
      <c r="H26" s="30">
        <v>0.40500000000000003</v>
      </c>
      <c r="J26" s="39">
        <f>INDEX('IRP Costs'!$B$14:$AK$14,1,MATCH(C26,'IRP Costs'!$B$2:$AK$2,0))/3.6</f>
        <v>13.397333333333332</v>
      </c>
      <c r="K26" s="49">
        <f>INDEX('IRP Costs'!$B$13:$AK$13,1,MATCH($C26,'IRP Costs'!$B$2:$AK$2,0))</f>
        <v>557.66399999999999</v>
      </c>
      <c r="L26" s="60">
        <f>INDEX('IRP Costs'!$B$17:$AK$17,1,MATCH($C26,'IRP Costs'!$B$2:$AK$2,0))</f>
        <v>30757.179200000002</v>
      </c>
      <c r="M26" s="30">
        <f>M25</f>
        <v>-2</v>
      </c>
      <c r="N26" s="30">
        <v>30</v>
      </c>
      <c r="O26" s="30">
        <v>31.536000000000001</v>
      </c>
      <c r="P26" s="37">
        <v>277.77800000000002</v>
      </c>
      <c r="Q26" s="411">
        <v>0.05</v>
      </c>
      <c r="R26" s="51"/>
      <c r="S26" s="51"/>
      <c r="T26" s="51"/>
      <c r="U26" s="51"/>
      <c r="V26" s="30">
        <v>0.85</v>
      </c>
      <c r="AJ26" s="380">
        <f>AJ25*42/367</f>
        <v>6.4201634877384199</v>
      </c>
      <c r="AK26" s="30">
        <f>AK25</f>
        <v>1E-3</v>
      </c>
      <c r="AL26" s="30">
        <f t="shared" ref="AL26:AP26" si="13">AL25</f>
        <v>1E-4</v>
      </c>
      <c r="AM26" s="30">
        <f t="shared" si="13"/>
        <v>0</v>
      </c>
      <c r="AN26" s="30">
        <f t="shared" si="13"/>
        <v>0.15</v>
      </c>
      <c r="AO26" s="30">
        <f t="shared" si="13"/>
        <v>0.02</v>
      </c>
      <c r="AP26" s="30">
        <f t="shared" si="13"/>
        <v>5.0000000000000001E-3</v>
      </c>
      <c r="AR26" s="61">
        <v>2036</v>
      </c>
      <c r="BJ26" s="37"/>
    </row>
    <row r="27" spans="1:68" ht="11.25" customHeight="1" x14ac:dyDescent="0.2">
      <c r="B27" s="30" t="str">
        <f>Processes!B51</f>
        <v>ETGICEN-N</v>
      </c>
      <c r="C27" s="30" t="str">
        <f>Processes!C51</f>
        <v>Gas Engines - LNG</v>
      </c>
      <c r="D27" s="30" t="s">
        <v>371</v>
      </c>
      <c r="E27" s="30" t="s">
        <v>129</v>
      </c>
      <c r="F27" s="37" t="str">
        <f t="shared" si="11"/>
        <v>PWRGIC</v>
      </c>
      <c r="H27" s="30">
        <v>0.45</v>
      </c>
      <c r="J27" s="39">
        <f>INDEX('IRP Costs'!$B$14:$AK$14,1,MATCH(C27,'IRP Costs'!$B$2:$AK$2,0))/3.6</f>
        <v>27.562222222222221</v>
      </c>
      <c r="K27" s="49">
        <f>INDEX('IRP Costs'!$B$13:$AK$13,1,MATCH($C27,'IRP Costs'!$B$2:$AK$2,0))</f>
        <v>597.85599999999999</v>
      </c>
      <c r="L27" s="60">
        <f>INDEX('IRP Costs'!$B$17:$AK$17,1,MATCH($C27,'IRP Costs'!$B$2:$AK$2,0))</f>
        <v>19886.750400000004</v>
      </c>
      <c r="M27" s="30">
        <v>-2</v>
      </c>
      <c r="N27" s="30">
        <v>20</v>
      </c>
      <c r="O27" s="30">
        <v>31.536000000000001</v>
      </c>
      <c r="P27" s="37">
        <v>277.77800000000002</v>
      </c>
      <c r="Q27" s="418">
        <v>0.05</v>
      </c>
      <c r="R27" s="51"/>
      <c r="S27" s="51"/>
      <c r="T27" s="51"/>
      <c r="U27" s="51"/>
      <c r="V27" s="30">
        <v>0.85</v>
      </c>
      <c r="AJ27" s="30">
        <f>AJ25</f>
        <v>56.1</v>
      </c>
      <c r="AK27" s="30">
        <f t="shared" ref="AK27:AP27" si="14">AK25</f>
        <v>1E-3</v>
      </c>
      <c r="AL27" s="30">
        <f t="shared" si="14"/>
        <v>1E-4</v>
      </c>
      <c r="AM27" s="30">
        <f t="shared" si="14"/>
        <v>0</v>
      </c>
      <c r="AN27" s="30">
        <f t="shared" si="14"/>
        <v>0.15</v>
      </c>
      <c r="AO27" s="30">
        <f t="shared" si="14"/>
        <v>0.02</v>
      </c>
      <c r="AP27" s="30">
        <f t="shared" si="14"/>
        <v>5.0000000000000001E-3</v>
      </c>
      <c r="AR27" s="61">
        <v>2027</v>
      </c>
      <c r="BJ27" s="37"/>
    </row>
    <row r="28" spans="1:68" ht="11.25" customHeight="1" x14ac:dyDescent="0.2">
      <c r="B28" s="30" t="str">
        <f>Processes!B52</f>
        <v>ERBIO-N</v>
      </c>
      <c r="C28" s="30" t="str">
        <f>Processes!C52</f>
        <v>Biomass municipal waste</v>
      </c>
      <c r="D28" s="30" t="s">
        <v>370</v>
      </c>
      <c r="E28" s="30" t="s">
        <v>129</v>
      </c>
      <c r="H28" s="30">
        <v>0.45</v>
      </c>
      <c r="J28" s="39">
        <f>INDEX('IRP Costs'!$B$14:$AK$14,1,MATCH(C28,'IRP Costs'!$B$2:$AK$2,0))/3.6</f>
        <v>44.971777777777781</v>
      </c>
      <c r="K28" s="49">
        <f>1785*Deflator!AB3/Deflator!X3</f>
        <v>2142.8614385150813</v>
      </c>
      <c r="L28" s="60">
        <f>22149*Deflator!AB3/Deflator!X3</f>
        <v>26589.489076566122</v>
      </c>
      <c r="M28" s="30">
        <v>-3</v>
      </c>
      <c r="N28" s="30">
        <v>25</v>
      </c>
      <c r="O28" s="30">
        <v>31.536000000000001</v>
      </c>
      <c r="Q28" s="51"/>
      <c r="R28" s="51"/>
      <c r="S28" s="51"/>
      <c r="T28" s="51"/>
      <c r="U28" s="51"/>
      <c r="V28" s="30">
        <v>0.85</v>
      </c>
      <c r="AR28" s="61">
        <v>2027</v>
      </c>
      <c r="AS28" s="30">
        <v>3</v>
      </c>
      <c r="AT28" s="30">
        <v>0.8</v>
      </c>
      <c r="BJ28" s="37">
        <v>3</v>
      </c>
    </row>
    <row r="29" spans="1:68" ht="11.25" customHeight="1" x14ac:dyDescent="0.2">
      <c r="B29" s="30" t="str">
        <f>Processes!B53</f>
        <v>ERBIG-N</v>
      </c>
      <c r="C29" s="30" t="str">
        <f>Processes!C53</f>
        <v>Landfill gas</v>
      </c>
      <c r="D29" s="30" t="s">
        <v>369</v>
      </c>
      <c r="E29" s="30" t="s">
        <v>129</v>
      </c>
      <c r="H29" s="30">
        <v>0.45</v>
      </c>
      <c r="J29" s="39">
        <f>INDEX('IRP Costs'!$B$14:$AK$14,1,MATCH(C29,'IRP Costs'!$B$2:$AK$2,0))/3.6</f>
        <v>24.317555555555554</v>
      </c>
      <c r="K29" s="49">
        <f>K28</f>
        <v>2142.8614385150813</v>
      </c>
      <c r="L29" s="60">
        <f>L28</f>
        <v>26589.489076566122</v>
      </c>
      <c r="M29" s="30">
        <v>-3</v>
      </c>
      <c r="N29" s="30">
        <v>25</v>
      </c>
      <c r="O29" s="30">
        <v>31.536000000000001</v>
      </c>
      <c r="Q29" s="51"/>
      <c r="R29" s="51"/>
      <c r="S29" s="51"/>
      <c r="T29" s="51"/>
      <c r="U29" s="51"/>
      <c r="V29" s="30">
        <v>0.85</v>
      </c>
      <c r="AR29" s="61">
        <v>2027</v>
      </c>
      <c r="AS29" s="30">
        <v>3</v>
      </c>
      <c r="AT29" s="30">
        <v>0.8</v>
      </c>
      <c r="BJ29" s="37">
        <v>3</v>
      </c>
    </row>
    <row r="30" spans="1:68" ht="11.25" customHeight="1" x14ac:dyDescent="0.2">
      <c r="B30" s="30" t="str">
        <f>Processes!B54</f>
        <v>ESTSUTL</v>
      </c>
      <c r="C30" s="30" t="str">
        <f>Processes!C54</f>
        <v>Utility Scale Storage - 4hrs</v>
      </c>
      <c r="D30" s="30" t="s">
        <v>129</v>
      </c>
      <c r="E30" s="30" t="s">
        <v>129</v>
      </c>
      <c r="I30" s="30">
        <v>0.89</v>
      </c>
      <c r="J30" s="39"/>
      <c r="K30" s="49">
        <f>INDEX('IRP Costs'!$B$13:$AK$13,1,MATCH($C30,'IRP Costs'!$B$2:$AK$2,0))</f>
        <v>875.43200000000002</v>
      </c>
      <c r="L30" s="60"/>
      <c r="M30" s="30">
        <v>-1</v>
      </c>
      <c r="N30" s="30">
        <v>15</v>
      </c>
      <c r="O30" s="30">
        <v>31.536000000000001</v>
      </c>
      <c r="Q30" s="51"/>
      <c r="R30" s="51"/>
      <c r="S30" s="51"/>
      <c r="T30" s="51"/>
      <c r="U30" s="51"/>
      <c r="V30" s="30">
        <v>0.85</v>
      </c>
      <c r="AI30" s="30">
        <v>0.16600000000000001</v>
      </c>
      <c r="AR30" s="61">
        <v>2023</v>
      </c>
      <c r="BB30" s="30">
        <v>0</v>
      </c>
      <c r="BC30" s="30">
        <v>0</v>
      </c>
      <c r="BD30" s="30">
        <v>0</v>
      </c>
      <c r="BE30" s="30">
        <v>0</v>
      </c>
      <c r="BF30" s="30">
        <v>0</v>
      </c>
      <c r="BG30" s="30">
        <v>0.23899999999999999</v>
      </c>
      <c r="BH30" s="30">
        <v>0.184</v>
      </c>
      <c r="BI30" s="30">
        <v>0.51300000000000001</v>
      </c>
      <c r="BJ30" s="37">
        <v>3</v>
      </c>
      <c r="BM30" s="30">
        <v>2</v>
      </c>
    </row>
    <row r="31" spans="1:68" ht="11.25" customHeight="1" x14ac:dyDescent="0.2">
      <c r="A31" s="33" t="str">
        <f>Processes!A55</f>
        <v>* New Power Plants - On-site</v>
      </c>
      <c r="J31" s="39"/>
      <c r="K31" s="49"/>
      <c r="L31" s="60"/>
      <c r="O31" s="30">
        <v>31.536000000000001</v>
      </c>
      <c r="Q31" s="51"/>
      <c r="R31" s="51"/>
      <c r="S31" s="51"/>
      <c r="T31" s="51"/>
      <c r="U31" s="51"/>
      <c r="AR31" s="61"/>
      <c r="BJ31" s="37"/>
    </row>
    <row r="32" spans="1:68" ht="11.25" customHeight="1" x14ac:dyDescent="0.2">
      <c r="B32" s="30" t="str">
        <f>Processes!B56</f>
        <v>ERSOLPRA-N</v>
      </c>
      <c r="C32" s="30" t="str">
        <f>Processes!C56</f>
        <v>Solar PV rooftop Agriculture</v>
      </c>
      <c r="D32" s="30" t="s">
        <v>366</v>
      </c>
      <c r="E32" s="43" t="s">
        <v>2452</v>
      </c>
      <c r="G32" s="30">
        <v>1</v>
      </c>
      <c r="J32" s="39"/>
      <c r="K32" s="49">
        <f>K33</f>
        <v>440.00191999999998</v>
      </c>
      <c r="L32" s="60"/>
      <c r="M32" s="30">
        <v>-1</v>
      </c>
      <c r="N32" s="30">
        <v>25</v>
      </c>
      <c r="O32" s="30">
        <v>31.536000000000001</v>
      </c>
      <c r="Q32" s="51"/>
      <c r="R32" s="51"/>
      <c r="S32" s="51"/>
      <c r="T32" s="51"/>
      <c r="U32" s="51"/>
      <c r="AR32" s="61"/>
      <c r="AW32" s="30">
        <v>0</v>
      </c>
      <c r="AX32" s="30">
        <f>OnsitePV!D30/1000</f>
        <v>1.3090000000000001E-2</v>
      </c>
      <c r="AY32" s="30">
        <f>OnsitePV!E30/1000</f>
        <v>1.0971428571428571E-2</v>
      </c>
      <c r="AZ32" s="30">
        <f>OnsitePV!F30/1000</f>
        <v>1.722857142857143E-2</v>
      </c>
      <c r="BA32" s="30">
        <f>SUM(AX32:AZ32)</f>
        <v>4.1290000000000007E-2</v>
      </c>
      <c r="BB32" s="30">
        <f>OnsitePV!G30/1000</f>
        <v>2.8571428571428577E-2</v>
      </c>
      <c r="BC32" s="30">
        <f>OnsitePV!H30/1000</f>
        <v>4.7142857142857153E-2</v>
      </c>
      <c r="BD32" s="30">
        <f>OnsitePV!I30/1000</f>
        <v>6.0000000000000005E-2</v>
      </c>
      <c r="BE32" s="30">
        <f>OnsitePV!J30/1000</f>
        <v>7.4285714285714302E-2</v>
      </c>
      <c r="BF32" s="30">
        <f>OnsitePV!K30/1000</f>
        <v>0.19320000000000001</v>
      </c>
      <c r="BG32" s="30">
        <f>OnsitePV!L30/1000</f>
        <v>0.35196428571428573</v>
      </c>
      <c r="BH32" s="30">
        <f>OnsitePV!M30/1000</f>
        <v>0.37142857142857144</v>
      </c>
      <c r="BI32" s="30">
        <f>OnsitePV!N30/1000</f>
        <v>0.2678571428571429</v>
      </c>
      <c r="BJ32" s="37">
        <v>3</v>
      </c>
      <c r="BK32" s="30">
        <v>1</v>
      </c>
      <c r="BL32" s="30">
        <v>1</v>
      </c>
      <c r="BM32" s="30">
        <v>1</v>
      </c>
      <c r="BN32" s="30">
        <v>3</v>
      </c>
      <c r="BO32" s="30">
        <v>3</v>
      </c>
      <c r="BP32" s="30">
        <v>3</v>
      </c>
    </row>
    <row r="33" spans="1:68" ht="11.25" customHeight="1" x14ac:dyDescent="0.2">
      <c r="B33" s="30" t="str">
        <f>Processes!B57</f>
        <v>ERSOLPRM-N</v>
      </c>
      <c r="C33" s="30" t="str">
        <f>Processes!C57</f>
        <v>Solar PV rooftop Mining</v>
      </c>
      <c r="D33" s="30" t="s">
        <v>366</v>
      </c>
      <c r="E33" s="43" t="s">
        <v>2458</v>
      </c>
      <c r="G33" s="30">
        <v>1</v>
      </c>
      <c r="J33" s="39"/>
      <c r="K33" s="49">
        <f>K34</f>
        <v>440.00191999999998</v>
      </c>
      <c r="L33" s="60"/>
      <c r="M33" s="30">
        <v>-1</v>
      </c>
      <c r="N33" s="30">
        <v>25</v>
      </c>
      <c r="O33" s="30">
        <v>31.536000000000001</v>
      </c>
      <c r="Q33" s="51"/>
      <c r="R33" s="51"/>
      <c r="S33" s="51"/>
      <c r="T33" s="51"/>
      <c r="U33" s="51"/>
      <c r="AR33" s="61"/>
      <c r="AW33" s="30">
        <v>0</v>
      </c>
      <c r="AX33" s="30">
        <f>OnsitePV!D31/1000</f>
        <v>6.5450000000000005E-3</v>
      </c>
      <c r="AY33" s="30">
        <f>OnsitePV!E31/1000</f>
        <v>4.8000000000000004E-3</v>
      </c>
      <c r="AZ33" s="30">
        <f>OnsitePV!F31/1000</f>
        <v>6.7000000000000002E-3</v>
      </c>
      <c r="BA33" s="30">
        <f t="shared" ref="BA33:BA36" si="15">SUM(AX33:AZ33)</f>
        <v>1.8045000000000002E-2</v>
      </c>
      <c r="BB33" s="30">
        <f>OnsitePV!G31/1000</f>
        <v>0.01</v>
      </c>
      <c r="BC33" s="30">
        <f>OnsitePV!H31/1000</f>
        <v>1.4999999999999999E-2</v>
      </c>
      <c r="BD33" s="30">
        <f>OnsitePV!I31/1000</f>
        <v>1.7500000000000002E-2</v>
      </c>
      <c r="BE33" s="30">
        <f>OnsitePV!J31/1000</f>
        <v>0.02</v>
      </c>
      <c r="BF33" s="30">
        <f>OnsitePV!K31/1000</f>
        <v>4.8300000000000003E-2</v>
      </c>
      <c r="BG33" s="30">
        <f>OnsitePV!L31/1000</f>
        <v>0.10037500000000001</v>
      </c>
      <c r="BH33" s="30">
        <f>OnsitePV!M31/1000</f>
        <v>0.12</v>
      </c>
      <c r="BI33" s="30">
        <f>OnsitePV!N31/1000</f>
        <v>9.7500000000000003E-2</v>
      </c>
      <c r="BJ33" s="37">
        <v>3</v>
      </c>
      <c r="BK33" s="30">
        <f>BK32</f>
        <v>1</v>
      </c>
      <c r="BL33" s="30">
        <f t="shared" ref="BL33:BP33" si="16">BL32</f>
        <v>1</v>
      </c>
      <c r="BM33" s="30">
        <f t="shared" si="16"/>
        <v>1</v>
      </c>
      <c r="BN33" s="30">
        <f t="shared" si="16"/>
        <v>3</v>
      </c>
      <c r="BO33" s="30">
        <f t="shared" si="16"/>
        <v>3</v>
      </c>
      <c r="BP33" s="30">
        <f t="shared" si="16"/>
        <v>3</v>
      </c>
    </row>
    <row r="34" spans="1:68" ht="11.25" customHeight="1" x14ac:dyDescent="0.2">
      <c r="B34" s="30" t="str">
        <f>Processes!B58</f>
        <v>ERSOLPRC-N</v>
      </c>
      <c r="C34" s="30" t="str">
        <f>Processes!C58</f>
        <v>Solar PV rooftop commercial</v>
      </c>
      <c r="D34" s="30" t="s">
        <v>366</v>
      </c>
      <c r="E34" s="43" t="s">
        <v>368</v>
      </c>
      <c r="G34" s="30">
        <v>1</v>
      </c>
      <c r="J34" s="39"/>
      <c r="K34" s="49">
        <f>K$19*ProcDataRECostProfiles!N17</f>
        <v>440.00191999999998</v>
      </c>
      <c r="L34" s="60"/>
      <c r="M34" s="30">
        <v>-1</v>
      </c>
      <c r="N34" s="30">
        <v>25</v>
      </c>
      <c r="O34" s="30">
        <v>31.536000000000001</v>
      </c>
      <c r="Q34" s="51"/>
      <c r="R34" s="51"/>
      <c r="S34" s="51"/>
      <c r="T34" s="51"/>
      <c r="U34" s="51"/>
      <c r="AR34" s="61"/>
      <c r="AW34" s="30">
        <v>0</v>
      </c>
      <c r="AX34" s="30">
        <f>OnsitePV!D32/1000</f>
        <v>1.3090000000000001E-2</v>
      </c>
      <c r="AY34" s="30">
        <f>OnsitePV!E32/1000</f>
        <v>9.6000000000000009E-3</v>
      </c>
      <c r="AZ34" s="30">
        <f>OnsitePV!F32/1000</f>
        <v>1.34E-2</v>
      </c>
      <c r="BA34" s="30">
        <f t="shared" si="15"/>
        <v>3.6090000000000004E-2</v>
      </c>
      <c r="BB34" s="30">
        <f>OnsitePV!G32/1000</f>
        <v>0.02</v>
      </c>
      <c r="BC34" s="30">
        <f>OnsitePV!H32/1000</f>
        <v>0.03</v>
      </c>
      <c r="BD34" s="30">
        <f>OnsitePV!I32/1000</f>
        <v>3.5000000000000003E-2</v>
      </c>
      <c r="BE34" s="30">
        <f>OnsitePV!J32/1000</f>
        <v>0.04</v>
      </c>
      <c r="BF34" s="30">
        <f>OnsitePV!K32/1000</f>
        <v>9.6600000000000005E-2</v>
      </c>
      <c r="BG34" s="30">
        <f>OnsitePV!L32/1000</f>
        <v>0.20075000000000001</v>
      </c>
      <c r="BH34" s="30">
        <f>OnsitePV!M32/1000</f>
        <v>0.24</v>
      </c>
      <c r="BI34" s="30">
        <f>OnsitePV!N32/1000</f>
        <v>0.19500000000000001</v>
      </c>
      <c r="BJ34" s="37">
        <v>3</v>
      </c>
      <c r="BK34" s="30">
        <f t="shared" ref="BK34:BK36" si="17">BK33</f>
        <v>1</v>
      </c>
      <c r="BL34" s="30">
        <f t="shared" ref="BL34:BL36" si="18">BL33</f>
        <v>1</v>
      </c>
      <c r="BM34" s="30">
        <f t="shared" ref="BM34:BM36" si="19">BM33</f>
        <v>1</v>
      </c>
      <c r="BN34" s="30">
        <f t="shared" ref="BN34:BN36" si="20">BN33</f>
        <v>3</v>
      </c>
      <c r="BO34" s="30">
        <f t="shared" ref="BO34:BO36" si="21">BO33</f>
        <v>3</v>
      </c>
      <c r="BP34" s="30">
        <f t="shared" ref="BP34:BP36" si="22">BP33</f>
        <v>3</v>
      </c>
    </row>
    <row r="35" spans="1:68" ht="11.25" customHeight="1" x14ac:dyDescent="0.2">
      <c r="B35" s="30" t="str">
        <f>Processes!B59</f>
        <v>ERSOLPRR-N</v>
      </c>
      <c r="C35" s="30" t="str">
        <f>Processes!C59</f>
        <v>Solar PV rooftop residential</v>
      </c>
      <c r="D35" s="30" t="s">
        <v>366</v>
      </c>
      <c r="E35" s="43" t="s">
        <v>367</v>
      </c>
      <c r="G35" s="30">
        <v>1</v>
      </c>
      <c r="J35" s="39"/>
      <c r="K35" s="49">
        <f>K$19*ProcDataRECostProfiles!N18</f>
        <v>663.79600000000005</v>
      </c>
      <c r="L35" s="60"/>
      <c r="M35" s="30">
        <v>-1</v>
      </c>
      <c r="N35" s="30">
        <v>25</v>
      </c>
      <c r="O35" s="30">
        <v>31.536000000000001</v>
      </c>
      <c r="Q35" s="51"/>
      <c r="R35" s="51"/>
      <c r="S35" s="51"/>
      <c r="T35" s="51"/>
      <c r="U35" s="51"/>
      <c r="AR35" s="61"/>
      <c r="AW35" s="30">
        <v>0</v>
      </c>
      <c r="AX35" s="30">
        <f>OnsitePV!D33/1000</f>
        <v>9.1629999999999989E-2</v>
      </c>
      <c r="AY35" s="30">
        <f>OnsitePV!E33/1000</f>
        <v>6.4457142857142852E-2</v>
      </c>
      <c r="AZ35" s="30">
        <f>OnsitePV!F33/1000</f>
        <v>8.6142857142857132E-2</v>
      </c>
      <c r="BA35" s="30">
        <f t="shared" si="15"/>
        <v>0.24222999999999997</v>
      </c>
      <c r="BB35" s="30">
        <f>OnsitePV!G33/1000</f>
        <v>0.12285714285714285</v>
      </c>
      <c r="BC35" s="30">
        <f>OnsitePV!H33/1000</f>
        <v>0.17571428571428568</v>
      </c>
      <c r="BD35" s="30">
        <f>OnsitePV!I33/1000</f>
        <v>0.19499999999999998</v>
      </c>
      <c r="BE35" s="30">
        <f>OnsitePV!J33/1000</f>
        <v>0.21142857142857138</v>
      </c>
      <c r="BF35" s="30">
        <f>OnsitePV!K33/1000</f>
        <v>0.48299999999999998</v>
      </c>
      <c r="BG35" s="30">
        <f>OnsitePV!L33/1000</f>
        <v>0.90207142857142852</v>
      </c>
      <c r="BH35" s="30">
        <f>OnsitePV!M33/1000</f>
        <v>0.97714285714285709</v>
      </c>
      <c r="BI35" s="30">
        <f>OnsitePV!N33/1000</f>
        <v>0.7242857142857142</v>
      </c>
      <c r="BJ35" s="37">
        <v>3</v>
      </c>
      <c r="BK35" s="30">
        <f t="shared" si="17"/>
        <v>1</v>
      </c>
      <c r="BL35" s="30">
        <f t="shared" si="18"/>
        <v>1</v>
      </c>
      <c r="BM35" s="30">
        <f t="shared" si="19"/>
        <v>1</v>
      </c>
      <c r="BN35" s="30">
        <f t="shared" si="20"/>
        <v>3</v>
      </c>
      <c r="BO35" s="30">
        <f t="shared" si="21"/>
        <v>3</v>
      </c>
      <c r="BP35" s="30">
        <f t="shared" si="22"/>
        <v>3</v>
      </c>
    </row>
    <row r="36" spans="1:68" ht="11.25" customHeight="1" x14ac:dyDescent="0.2">
      <c r="B36" s="30" t="str">
        <f>Processes!B60</f>
        <v>ERSOLPRI-N</v>
      </c>
      <c r="C36" s="30" t="str">
        <f>Processes!C60</f>
        <v>Solar PV rooftop Industry</v>
      </c>
      <c r="D36" s="30" t="s">
        <v>366</v>
      </c>
      <c r="E36" s="43" t="s">
        <v>365</v>
      </c>
      <c r="G36" s="30">
        <v>1</v>
      </c>
      <c r="J36" s="39"/>
      <c r="K36" s="49">
        <f>K$19*ProcDataRECostProfiles!N19</f>
        <v>440.00191999999998</v>
      </c>
      <c r="L36" s="60"/>
      <c r="M36" s="30">
        <v>-1</v>
      </c>
      <c r="N36" s="30">
        <v>25</v>
      </c>
      <c r="O36" s="30">
        <v>31.536000000000001</v>
      </c>
      <c r="Q36" s="51"/>
      <c r="R36" s="51"/>
      <c r="S36" s="51"/>
      <c r="T36" s="51"/>
      <c r="U36" s="51"/>
      <c r="AR36" s="61"/>
      <c r="AW36" s="30">
        <v>0</v>
      </c>
      <c r="AX36" s="30">
        <f>OnsitePV!D34/1000</f>
        <v>6.5450000000000065E-3</v>
      </c>
      <c r="AY36" s="30">
        <f>OnsitePV!E34/1000</f>
        <v>6.1714285714285742E-3</v>
      </c>
      <c r="AZ36" s="30">
        <f>OnsitePV!F34/1000</f>
        <v>1.0528571428571432E-2</v>
      </c>
      <c r="BA36" s="30">
        <f t="shared" si="15"/>
        <v>2.3245000000000012E-2</v>
      </c>
      <c r="BB36" s="30">
        <f>OnsitePV!G34/1000</f>
        <v>1.8571428571428576E-2</v>
      </c>
      <c r="BC36" s="30">
        <f>OnsitePV!H34/1000</f>
        <v>3.2142857142857147E-2</v>
      </c>
      <c r="BD36" s="30">
        <f>OnsitePV!I34/1000</f>
        <v>4.2500000000000003E-2</v>
      </c>
      <c r="BE36" s="30">
        <f>OnsitePV!J34/1000</f>
        <v>5.4285714285714284E-2</v>
      </c>
      <c r="BF36" s="30">
        <f>OnsitePV!K34/1000</f>
        <v>0.1449</v>
      </c>
      <c r="BG36" s="30">
        <f>OnsitePV!L34/1000</f>
        <v>0.26983928571428584</v>
      </c>
      <c r="BH36" s="30">
        <f>OnsitePV!M34/1000</f>
        <v>0.29142857142857137</v>
      </c>
      <c r="BI36" s="30">
        <f>OnsitePV!N34/1000</f>
        <v>0.21535714285714302</v>
      </c>
      <c r="BJ36" s="37">
        <v>3</v>
      </c>
      <c r="BK36" s="30">
        <f t="shared" si="17"/>
        <v>1</v>
      </c>
      <c r="BL36" s="30">
        <f t="shared" si="18"/>
        <v>1</v>
      </c>
      <c r="BM36" s="30">
        <f t="shared" si="19"/>
        <v>1</v>
      </c>
      <c r="BN36" s="30">
        <f t="shared" si="20"/>
        <v>3</v>
      </c>
      <c r="BO36" s="30">
        <f t="shared" si="21"/>
        <v>3</v>
      </c>
      <c r="BP36" s="30">
        <f t="shared" si="22"/>
        <v>3</v>
      </c>
    </row>
    <row r="37" spans="1:68" ht="11.25" customHeight="1" x14ac:dyDescent="0.2">
      <c r="B37" s="30" t="str">
        <f>Processes!B61</f>
        <v>ETGASENSS-N</v>
      </c>
      <c r="C37" s="30" t="str">
        <f>Processes!C61</f>
        <v xml:space="preserve">Sasol SSF Gas Plant </v>
      </c>
      <c r="D37" s="30" t="s">
        <v>131</v>
      </c>
      <c r="E37" s="30" t="s">
        <v>2372</v>
      </c>
      <c r="G37" s="30">
        <v>0.33</v>
      </c>
      <c r="J37" s="39">
        <f>J23</f>
        <v>0.94200000000000006</v>
      </c>
      <c r="K37" s="49">
        <f>K23</f>
        <v>227.33600000000001</v>
      </c>
      <c r="L37" s="60">
        <f>L23</f>
        <v>12746.641600000001</v>
      </c>
      <c r="M37" s="30">
        <v>-2</v>
      </c>
      <c r="N37" s="30">
        <v>30</v>
      </c>
      <c r="O37" s="30">
        <v>31.536000000000001</v>
      </c>
      <c r="P37" s="37">
        <v>277.77800000000002</v>
      </c>
      <c r="Q37" s="51">
        <f>NERSA2017!P109</f>
        <v>0.79635760733085648</v>
      </c>
      <c r="R37" s="51"/>
      <c r="S37" s="51"/>
      <c r="T37" s="51"/>
      <c r="U37" s="51">
        <v>0</v>
      </c>
      <c r="V37" s="30">
        <v>0.85</v>
      </c>
      <c r="AR37" s="61"/>
      <c r="AS37" s="30">
        <v>3</v>
      </c>
      <c r="AT37" s="41">
        <f>BA37</f>
        <v>0.249</v>
      </c>
      <c r="AU37" s="41">
        <f>AT37</f>
        <v>0.249</v>
      </c>
      <c r="BA37" s="41">
        <f>ROUND(NERSA2018!I110/1000*0.99,3)</f>
        <v>0.249</v>
      </c>
      <c r="BJ37" s="37">
        <v>3</v>
      </c>
    </row>
    <row r="38" spans="1:68" ht="11.25" customHeight="1" x14ac:dyDescent="0.2">
      <c r="B38" s="30" t="str">
        <f>Processes!B62</f>
        <v>ETGASENSI-N</v>
      </c>
      <c r="C38" s="30" t="str">
        <f>Processes!C62</f>
        <v xml:space="preserve">Sasol Infrachem Gas Plant </v>
      </c>
      <c r="D38" s="30" t="s">
        <v>131</v>
      </c>
      <c r="E38" s="30" t="s">
        <v>2370</v>
      </c>
      <c r="G38" s="30">
        <v>0.45</v>
      </c>
      <c r="J38" s="39">
        <f>J27</f>
        <v>27.562222222222221</v>
      </c>
      <c r="K38" s="49">
        <f>K27</f>
        <v>597.85599999999999</v>
      </c>
      <c r="L38" s="60">
        <f>L27</f>
        <v>19886.750400000004</v>
      </c>
      <c r="M38" s="30">
        <v>-2</v>
      </c>
      <c r="N38" s="30">
        <v>30</v>
      </c>
      <c r="O38" s="30">
        <v>31.536000000000001</v>
      </c>
      <c r="P38" s="37">
        <v>277.77800000000002</v>
      </c>
      <c r="Q38" s="51">
        <f>NERSA2017!P108</f>
        <v>0.51834918525766471</v>
      </c>
      <c r="R38" s="51"/>
      <c r="S38" s="51"/>
      <c r="T38" s="51"/>
      <c r="U38" s="51"/>
      <c r="V38" s="30">
        <v>0.85</v>
      </c>
      <c r="AR38" s="61"/>
      <c r="AS38" s="30">
        <v>3</v>
      </c>
      <c r="AT38" s="41">
        <f>BA38</f>
        <v>0.17199999999999999</v>
      </c>
      <c r="AU38" s="41">
        <f>AT38</f>
        <v>0.17199999999999999</v>
      </c>
      <c r="BA38" s="41">
        <f>ROUND(NERSA2018!I109/1000*0.98,3)</f>
        <v>0.17199999999999999</v>
      </c>
      <c r="BJ38" s="37">
        <v>3</v>
      </c>
    </row>
    <row r="39" spans="1:68" ht="11.25" customHeight="1" x14ac:dyDescent="0.2">
      <c r="A39" s="30" t="s">
        <v>2438</v>
      </c>
      <c r="AR39" s="61"/>
      <c r="BJ39" s="37"/>
    </row>
    <row r="40" spans="1:68" ht="11.25" customHeight="1" x14ac:dyDescent="0.2">
      <c r="B40" s="30" t="str">
        <f>Processes!B64</f>
        <v>EDILS</v>
      </c>
      <c r="C40" s="30" t="str">
        <f>Processes!C64</f>
        <v>Interruptible Supply</v>
      </c>
      <c r="E40" s="30" t="s">
        <v>129</v>
      </c>
      <c r="J40" s="30">
        <f>230*3*2</f>
        <v>1380</v>
      </c>
      <c r="AR40" s="61"/>
      <c r="AS40" s="30">
        <v>3</v>
      </c>
      <c r="AT40" s="30">
        <f>1.13+1.34</f>
        <v>2.4699999999999998</v>
      </c>
      <c r="BJ40" s="37"/>
    </row>
    <row r="41" spans="1:68" ht="11.25" customHeight="1" x14ac:dyDescent="0.2">
      <c r="B41" s="30" t="str">
        <f>Processes!B65</f>
        <v>EDMLR</v>
      </c>
      <c r="C41" s="30" t="str">
        <f>Processes!C65</f>
        <v>Manual Load Reduction (load shedding)</v>
      </c>
      <c r="E41" s="30" t="s">
        <v>129</v>
      </c>
      <c r="J41" s="30">
        <f>9.53*1000/3.6*1.152</f>
        <v>3049.6</v>
      </c>
      <c r="BJ41" s="37"/>
    </row>
  </sheetData>
  <pageMargins left="0.75" right="0.75" top="1" bottom="1" header="0.5" footer="0.5"/>
  <pageSetup paperSize="9" orientation="landscape" horizontalDpi="1200" verticalDpi="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C7961-22CE-4DD1-B1B0-18CC4AABAC3D}">
  <sheetPr codeName="Sheet37">
    <tabColor rgb="FF00B0F0"/>
  </sheetPr>
  <dimension ref="A1:BX61"/>
  <sheetViews>
    <sheetView workbookViewId="0">
      <selection activeCell="H9" sqref="H9"/>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0.140625" style="30" customWidth="1"/>
    <col min="6" max="6" width="6.85546875" style="37" customWidth="1"/>
    <col min="7" max="7" width="9.140625" style="30"/>
    <col min="8" max="8" width="9.42578125" style="30" bestFit="1" customWidth="1"/>
    <col min="9" max="10" width="9.140625" style="30"/>
    <col min="11" max="11" width="10.42578125" style="30" bestFit="1" customWidth="1"/>
    <col min="12" max="12" width="9.140625" style="30"/>
    <col min="13" max="13" width="10.42578125" style="30" customWidth="1"/>
    <col min="14" max="14" width="9.140625" style="30"/>
    <col min="15" max="15" width="10.42578125" style="30" bestFit="1" customWidth="1"/>
    <col min="16" max="16384" width="9.140625" style="30"/>
  </cols>
  <sheetData>
    <row r="1" spans="1:76" ht="11.25" customHeight="1" x14ac:dyDescent="0.2">
      <c r="A1" s="47"/>
      <c r="B1" s="9"/>
      <c r="G1" s="30">
        <v>1.4059999999999999</v>
      </c>
      <c r="K1" s="30" t="s">
        <v>92</v>
      </c>
      <c r="L1" s="30" t="s">
        <v>92</v>
      </c>
      <c r="N1" s="30" t="s">
        <v>92</v>
      </c>
      <c r="O1" s="30" t="s">
        <v>92</v>
      </c>
      <c r="BK1" s="30" t="s">
        <v>92</v>
      </c>
      <c r="BL1" s="30" t="s">
        <v>92</v>
      </c>
      <c r="BM1" s="30" t="s">
        <v>92</v>
      </c>
      <c r="BN1" s="30" t="s">
        <v>92</v>
      </c>
      <c r="BO1" s="30" t="s">
        <v>92</v>
      </c>
      <c r="BP1" s="30" t="s">
        <v>92</v>
      </c>
      <c r="BQ1" s="30" t="s">
        <v>92</v>
      </c>
      <c r="BR1" s="30" t="s">
        <v>92</v>
      </c>
      <c r="BS1" s="30" t="s">
        <v>92</v>
      </c>
      <c r="BT1" s="30" t="s">
        <v>92</v>
      </c>
      <c r="BU1" s="30" t="s">
        <v>92</v>
      </c>
      <c r="BV1" s="30" t="s">
        <v>92</v>
      </c>
      <c r="BW1" s="30" t="s">
        <v>92</v>
      </c>
      <c r="BX1" s="30" t="s">
        <v>92</v>
      </c>
    </row>
    <row r="2" spans="1:76" ht="11.25" customHeight="1" x14ac:dyDescent="0.2">
      <c r="A2" s="45"/>
    </row>
    <row r="3" spans="1:76" ht="34.5" customHeight="1" x14ac:dyDescent="0.2">
      <c r="G3" s="59" t="s">
        <v>381</v>
      </c>
      <c r="H3" s="59" t="s">
        <v>381</v>
      </c>
      <c r="I3" s="59" t="s">
        <v>381</v>
      </c>
      <c r="J3" s="59" t="s">
        <v>381</v>
      </c>
      <c r="K3" s="59" t="s">
        <v>381</v>
      </c>
      <c r="L3" s="59" t="s">
        <v>381</v>
      </c>
      <c r="M3" s="59"/>
      <c r="N3" s="59" t="s">
        <v>385</v>
      </c>
      <c r="O3" s="59" t="s">
        <v>384</v>
      </c>
      <c r="X3" s="59"/>
      <c r="AG3" s="59"/>
      <c r="AP3" s="59"/>
      <c r="AY3" s="59"/>
      <c r="BL3" s="30">
        <v>2018</v>
      </c>
      <c r="BM3" s="59" t="s">
        <v>1843</v>
      </c>
      <c r="BN3" s="59" t="s">
        <v>1844</v>
      </c>
    </row>
    <row r="4" spans="1:76" ht="21.75" customHeight="1" x14ac:dyDescent="0.2">
      <c r="D4" s="58"/>
      <c r="E4" s="58"/>
      <c r="F4" s="58"/>
      <c r="G4" s="46" t="s">
        <v>353</v>
      </c>
      <c r="H4" s="46" t="s">
        <v>353</v>
      </c>
      <c r="I4" s="46" t="s">
        <v>353</v>
      </c>
      <c r="J4" s="46" t="s">
        <v>353</v>
      </c>
      <c r="K4" s="46" t="s">
        <v>353</v>
      </c>
      <c r="L4" s="46" t="s">
        <v>353</v>
      </c>
      <c r="M4" s="46"/>
      <c r="O4" s="30" t="s">
        <v>2156</v>
      </c>
      <c r="P4" s="46"/>
      <c r="Q4" s="46"/>
      <c r="R4" s="46"/>
      <c r="S4" s="46"/>
      <c r="T4" s="46"/>
      <c r="U4" s="46"/>
      <c r="V4" s="46"/>
      <c r="W4" s="46"/>
      <c r="Y4" s="46"/>
      <c r="Z4" s="46"/>
      <c r="AA4" s="46"/>
      <c r="AB4" s="46"/>
      <c r="AC4" s="46"/>
      <c r="AD4" s="46"/>
      <c r="AE4" s="46"/>
      <c r="AF4" s="46"/>
      <c r="AH4" s="46"/>
      <c r="AI4" s="46"/>
      <c r="AJ4" s="46"/>
      <c r="AK4" s="46"/>
      <c r="AL4" s="46"/>
      <c r="AM4" s="46"/>
      <c r="AN4" s="46"/>
      <c r="AO4" s="46"/>
      <c r="AQ4" s="46"/>
      <c r="AR4" s="46"/>
      <c r="AS4" s="46"/>
      <c r="AT4" s="46"/>
      <c r="AU4" s="46"/>
      <c r="AV4" s="46"/>
      <c r="AW4" s="46"/>
      <c r="AX4" s="46"/>
      <c r="AZ4" s="46"/>
      <c r="BA4" s="46"/>
      <c r="BB4" s="46"/>
      <c r="BC4" s="46"/>
      <c r="BD4" s="46"/>
      <c r="BE4" s="46"/>
      <c r="BF4" s="46"/>
      <c r="BG4" s="46"/>
      <c r="BK4" s="30" t="s">
        <v>1117</v>
      </c>
      <c r="BL4" s="30">
        <v>2.7</v>
      </c>
      <c r="BM4" s="39">
        <f>BL4/BL$7</f>
        <v>2.3893805309734515</v>
      </c>
      <c r="BN4" s="39">
        <f>BL4/BL$6</f>
        <v>2.5471698113207548</v>
      </c>
    </row>
    <row r="5" spans="1:76" ht="16.5" customHeight="1" x14ac:dyDescent="0.25">
      <c r="G5" s="30">
        <v>2017</v>
      </c>
      <c r="H5" s="30">
        <v>2020</v>
      </c>
      <c r="I5" s="30">
        <v>2025</v>
      </c>
      <c r="J5" s="30">
        <v>2030</v>
      </c>
      <c r="K5" s="30">
        <v>2040</v>
      </c>
      <c r="L5" s="30">
        <v>2050</v>
      </c>
      <c r="O5" s="44" t="s">
        <v>2157</v>
      </c>
      <c r="BK5" s="30" t="s">
        <v>1118</v>
      </c>
      <c r="BL5" s="30">
        <v>1.83</v>
      </c>
      <c r="BM5" s="39">
        <f>BL5/BL$7</f>
        <v>1.6194690265486729</v>
      </c>
      <c r="BN5" s="39">
        <f>BL5/BL$6</f>
        <v>1.7264150943396226</v>
      </c>
    </row>
    <row r="6" spans="1:76" ht="17.25" customHeight="1" x14ac:dyDescent="0.2">
      <c r="E6" s="30" t="s">
        <v>2451</v>
      </c>
      <c r="O6" s="30" t="s">
        <v>2157</v>
      </c>
      <c r="BK6" s="30" t="s">
        <v>1841</v>
      </c>
      <c r="BL6" s="30">
        <v>1.06</v>
      </c>
      <c r="BM6" s="39">
        <f>BL6/BL$7</f>
        <v>0.93805309734513287</v>
      </c>
      <c r="BN6" s="39">
        <f>BL6/BL$6</f>
        <v>1</v>
      </c>
    </row>
    <row r="7" spans="1:76" ht="21.75" customHeight="1" x14ac:dyDescent="0.2">
      <c r="B7" s="47" t="s">
        <v>2411</v>
      </c>
      <c r="C7" s="47" t="s">
        <v>2412</v>
      </c>
      <c r="D7" s="47" t="s">
        <v>2421</v>
      </c>
      <c r="E7" s="47" t="s">
        <v>2422</v>
      </c>
      <c r="F7" s="55" t="s">
        <v>2428</v>
      </c>
      <c r="G7" s="59" t="str">
        <f t="shared" ref="G7:L7" si="0">IFERROR(REPLACE(G4,SEARCH("-",G4),1,"~"),G4)&amp;"~"&amp;G5</f>
        <v>NCAP_COST~2017</v>
      </c>
      <c r="H7" s="59" t="str">
        <f t="shared" si="0"/>
        <v>NCAP_COST~2020</v>
      </c>
      <c r="I7" s="59" t="str">
        <f t="shared" si="0"/>
        <v>NCAP_COST~2025</v>
      </c>
      <c r="J7" s="59" t="str">
        <f t="shared" si="0"/>
        <v>NCAP_COST~2030</v>
      </c>
      <c r="K7" s="59" t="str">
        <f t="shared" si="0"/>
        <v>NCAP_COST~2040</v>
      </c>
      <c r="L7" s="59" t="str">
        <f t="shared" si="0"/>
        <v>NCAP_COST~2050</v>
      </c>
      <c r="M7" s="46"/>
      <c r="BK7" s="30" t="s">
        <v>1842</v>
      </c>
      <c r="BL7" s="30">
        <v>1.1299999999999999</v>
      </c>
      <c r="BM7" s="39">
        <f>BL7/BL$7</f>
        <v>1</v>
      </c>
      <c r="BN7" s="39">
        <f>BL7/BL$6</f>
        <v>1.0660377358490565</v>
      </c>
    </row>
    <row r="8" spans="1:76" ht="11.25" customHeight="1" x14ac:dyDescent="0.2">
      <c r="A8" s="33" t="str">
        <f>Processes!A32</f>
        <v>* New Power Plants - Grid</v>
      </c>
      <c r="E8" s="36"/>
    </row>
    <row r="9" spans="1:76" ht="11.25" customHeight="1" x14ac:dyDescent="0.2">
      <c r="B9" s="30" t="str">
        <f>Processes!B42</f>
        <v>ERSOLTC09-N</v>
      </c>
      <c r="C9" s="30" t="str">
        <f>Processes!C42</f>
        <v>Solar Central Receiver 09 hrs storage</v>
      </c>
      <c r="D9" s="30" t="s">
        <v>366</v>
      </c>
      <c r="E9" s="30" t="s">
        <v>129</v>
      </c>
      <c r="G9" s="60">
        <v>81279.984337530521</v>
      </c>
      <c r="H9" s="60">
        <v>73998.53300252161</v>
      </c>
      <c r="I9" s="60">
        <v>61862.780777506749</v>
      </c>
      <c r="J9" s="60">
        <v>49727.028552491902</v>
      </c>
      <c r="K9" s="60">
        <v>49727.028552491902</v>
      </c>
      <c r="L9" s="60">
        <v>49727.028552491902</v>
      </c>
      <c r="M9" s="39"/>
      <c r="O9" s="39">
        <v>0.46798025400000004</v>
      </c>
      <c r="T9" s="64"/>
    </row>
    <row r="10" spans="1:76" ht="11.25" customHeight="1" x14ac:dyDescent="0.2">
      <c r="B10" s="30" t="str">
        <f>Processes!B43</f>
        <v>ERSOLPCF-N</v>
      </c>
      <c r="C10" s="30" t="str">
        <f>Processes!C43</f>
        <v>Solar PV Fixed</v>
      </c>
      <c r="D10" s="30" t="s">
        <v>366</v>
      </c>
      <c r="E10" s="30" t="s">
        <v>129</v>
      </c>
      <c r="G10" s="60">
        <f t="shared" ref="G10:L10" si="1">G$11*$N10</f>
        <v>19505.013097345138</v>
      </c>
      <c r="H10" s="60">
        <f t="shared" si="1"/>
        <v>13810.229699115045</v>
      </c>
      <c r="I10" s="60">
        <f t="shared" si="1"/>
        <v>12963.494194690265</v>
      </c>
      <c r="J10" s="60">
        <f t="shared" si="1"/>
        <v>12178.747115044249</v>
      </c>
      <c r="K10" s="60">
        <f t="shared" si="1"/>
        <v>10818.958477876107</v>
      </c>
      <c r="L10" s="60">
        <f t="shared" si="1"/>
        <v>9558.0875398230091</v>
      </c>
      <c r="M10" s="39"/>
      <c r="N10" s="39">
        <f>BM6</f>
        <v>0.93805309734513287</v>
      </c>
      <c r="O10" s="39">
        <v>0.250001421</v>
      </c>
    </row>
    <row r="11" spans="1:76" ht="11.25" customHeight="1" x14ac:dyDescent="0.2">
      <c r="B11" s="30" t="str">
        <f>Processes!B44</f>
        <v>ERSOLPCT-N</v>
      </c>
      <c r="C11" s="30" t="str">
        <f>Processes!C44</f>
        <v>Solar PV tracking</v>
      </c>
      <c r="D11" s="30" t="s">
        <v>366</v>
      </c>
      <c r="E11" s="30" t="s">
        <v>129</v>
      </c>
      <c r="G11" s="60">
        <f>'IRP Costs'!V12</f>
        <v>20793.080000000002</v>
      </c>
      <c r="H11" s="60">
        <f>INDEX(H$30:H$44,MATCH($F$29,$A$30:$A$44,0))</f>
        <v>14722.225999999999</v>
      </c>
      <c r="I11" s="60">
        <f>INDEX(I$30:I$44,MATCH($F$29,$A$30:$A$44,0))</f>
        <v>13819.573999999999</v>
      </c>
      <c r="J11" s="60">
        <f>INDEX(J$30:J$44,MATCH($F$29,$A$30:$A$44,0))</f>
        <v>12983.003999999999</v>
      </c>
      <c r="K11" s="60">
        <f>INDEX(K$30:K$44,MATCH($F$29,$A$30:$A$44,0))</f>
        <v>11533.418</v>
      </c>
      <c r="L11" s="60">
        <f>INDEX(L$30:L$44,MATCH($F$29,$A$30:$A$44,0))</f>
        <v>10189.281999999999</v>
      </c>
      <c r="M11" s="39"/>
      <c r="O11" s="39">
        <v>0.28000044900000004</v>
      </c>
    </row>
    <row r="12" spans="1:76" ht="11.25" customHeight="1" x14ac:dyDescent="0.2">
      <c r="B12" s="30" t="str">
        <f>Processes!B45</f>
        <v>ERWNDH-N</v>
      </c>
      <c r="C12" s="30" t="str">
        <f>Processes!C45</f>
        <v>Wind</v>
      </c>
      <c r="D12" s="30" t="s">
        <v>372</v>
      </c>
      <c r="E12" s="30" t="s">
        <v>129</v>
      </c>
      <c r="G12" s="60">
        <f>'IRP Costs'!T17</f>
        <v>21530.351999999999</v>
      </c>
      <c r="H12" s="60">
        <f>INDEX(H$49:H$62,MATCH($F$48,$A$49:$A$61,0))</f>
        <v>17575</v>
      </c>
      <c r="I12" s="60">
        <f>INDEX(I$49:I$62,MATCH($F$48,$A$49:$A$61,0))</f>
        <v>17421.745999999999</v>
      </c>
      <c r="J12" s="60">
        <f>INDEX(J$49:J$62,MATCH($F$48,$A$49:$A$61,0))</f>
        <v>17269.897999999997</v>
      </c>
      <c r="K12" s="60">
        <f>INDEX(K$49:K$62,MATCH($F$48,$A$49:$A$61,0))</f>
        <v>16969.013999999999</v>
      </c>
      <c r="L12" s="60">
        <f>INDEX(L$49:L$62,MATCH($F$48,$A$49:$A$61,0))</f>
        <v>16673.754000000001</v>
      </c>
      <c r="M12" s="41"/>
      <c r="O12" s="41">
        <v>0.35000000000000003</v>
      </c>
      <c r="X12" s="41"/>
      <c r="AC12" s="64"/>
      <c r="AG12" s="41"/>
      <c r="AP12" s="41"/>
      <c r="AY12" s="41"/>
    </row>
    <row r="13" spans="1:76" ht="11.25" customHeight="1" x14ac:dyDescent="0.2">
      <c r="B13" s="30" t="str">
        <f>ProcDataGen2012On!B30</f>
        <v>ESTSUTL</v>
      </c>
      <c r="C13" s="30" t="str">
        <f>ProcDataGen2012On!C30</f>
        <v>Utility Scale Storage - 4hrs</v>
      </c>
      <c r="D13" s="30" t="str">
        <f>ProcDataGen2012On!D30</f>
        <v>ELCC</v>
      </c>
      <c r="E13" s="30" t="str">
        <f>ProcDataGen2012On!E30</f>
        <v>ELCC</v>
      </c>
      <c r="G13" s="60">
        <f>'IRP Costs'!Q17</f>
        <v>38195.713600000003</v>
      </c>
      <c r="H13" s="60">
        <f>INDEX(NBI_NREL_etc!$D$181:$AJ$181,1,MATCH(H5,NBI_NREL_etc!$D$172:$AJ$172,0))</f>
        <v>24484.621581830994</v>
      </c>
      <c r="I13" s="60">
        <f>INDEX(NBI_NREL_etc!$D$181:$AJ$181,1,MATCH(I5,NBI_NREL_etc!$D$172:$AJ$172,0))</f>
        <v>24174.373750639952</v>
      </c>
      <c r="J13" s="60">
        <f>INDEX(NBI_NREL_etc!$D$181:$AJ$181,1,MATCH(J5,NBI_NREL_etc!$D$172:$AJ$172,0))</f>
        <v>20263.657963585498</v>
      </c>
      <c r="K13" s="60">
        <f>INDEX(NBI_NREL_etc!$D$181:$AJ$181,1,MATCH(K5,NBI_NREL_etc!$D$172:$AJ$172,0))</f>
        <v>17138.851112089658</v>
      </c>
      <c r="L13" s="60">
        <f>INDEX(NBI_NREL_etc!$D$181:$AJ$181,1,MATCH(L5,NBI_NREL_etc!$D$172:$AJ$172,0))</f>
        <v>14015.472524548735</v>
      </c>
      <c r="M13" s="41"/>
      <c r="O13" s="41"/>
      <c r="X13" s="41"/>
      <c r="AC13" s="64"/>
      <c r="AG13" s="41"/>
      <c r="AP13" s="41"/>
      <c r="AY13" s="41"/>
      <c r="BK13" s="30" t="s">
        <v>1845</v>
      </c>
      <c r="BO13" s="30" t="s">
        <v>1846</v>
      </c>
    </row>
    <row r="14" spans="1:76" ht="11.25" customHeight="1" x14ac:dyDescent="0.2">
      <c r="A14" s="33" t="str">
        <f>Processes!A55</f>
        <v>* New Power Plants - On-site</v>
      </c>
    </row>
    <row r="15" spans="1:76" ht="11.25" customHeight="1" x14ac:dyDescent="0.2">
      <c r="B15" s="30" t="str">
        <f>Processes!B56</f>
        <v>ERSOLPRA-N</v>
      </c>
      <c r="C15" s="30" t="str">
        <f>Processes!C56</f>
        <v>Solar PV rooftop Agriculture</v>
      </c>
      <c r="D15" s="30" t="s">
        <v>366</v>
      </c>
      <c r="E15" s="43" t="s">
        <v>2452</v>
      </c>
      <c r="G15" s="60">
        <f t="shared" ref="G15:L19" si="2">G$10*$N15</f>
        <v>22625.81519292036</v>
      </c>
      <c r="H15" s="60">
        <f t="shared" si="2"/>
        <v>16019.866450973452</v>
      </c>
      <c r="I15" s="60">
        <f t="shared" si="2"/>
        <v>15037.653265840707</v>
      </c>
      <c r="J15" s="60">
        <f t="shared" si="2"/>
        <v>14127.346653451328</v>
      </c>
      <c r="K15" s="60">
        <f t="shared" si="2"/>
        <v>12549.991834336284</v>
      </c>
      <c r="L15" s="60">
        <f t="shared" si="2"/>
        <v>11087.381546194691</v>
      </c>
      <c r="M15" s="39"/>
      <c r="N15" s="30">
        <v>1.1599999999999999</v>
      </c>
      <c r="O15" s="39">
        <v>0.20000113680000001</v>
      </c>
    </row>
    <row r="16" spans="1:76" ht="11.25" customHeight="1" x14ac:dyDescent="0.2">
      <c r="B16" s="30" t="str">
        <f>Processes!B57</f>
        <v>ERSOLPRM-N</v>
      </c>
      <c r="C16" s="30" t="str">
        <f>Processes!C57</f>
        <v>Solar PV rooftop Mining</v>
      </c>
      <c r="D16" s="30" t="s">
        <v>366</v>
      </c>
      <c r="E16" s="43" t="s">
        <v>2458</v>
      </c>
      <c r="G16" s="60">
        <f t="shared" si="2"/>
        <v>22625.81519292036</v>
      </c>
      <c r="H16" s="60">
        <f t="shared" si="2"/>
        <v>16019.866450973452</v>
      </c>
      <c r="I16" s="60">
        <f t="shared" si="2"/>
        <v>15037.653265840707</v>
      </c>
      <c r="J16" s="60">
        <f t="shared" si="2"/>
        <v>14127.346653451328</v>
      </c>
      <c r="K16" s="60">
        <f t="shared" si="2"/>
        <v>12549.991834336284</v>
      </c>
      <c r="L16" s="60">
        <f t="shared" si="2"/>
        <v>11087.381546194691</v>
      </c>
      <c r="M16" s="39"/>
      <c r="N16" s="30">
        <v>1.1599999999999999</v>
      </c>
      <c r="O16" s="39">
        <v>0.20000113680000001</v>
      </c>
    </row>
    <row r="17" spans="1:59" ht="11.25" customHeight="1" x14ac:dyDescent="0.2">
      <c r="B17" s="30" t="str">
        <f>Processes!B58</f>
        <v>ERSOLPRC-N</v>
      </c>
      <c r="C17" s="30" t="str">
        <f>Processes!C58</f>
        <v>Solar PV rooftop commercial</v>
      </c>
      <c r="D17" s="30" t="s">
        <v>366</v>
      </c>
      <c r="E17" s="43" t="s">
        <v>368</v>
      </c>
      <c r="G17" s="60">
        <f t="shared" si="2"/>
        <v>22625.81519292036</v>
      </c>
      <c r="H17" s="60">
        <f t="shared" si="2"/>
        <v>16019.866450973452</v>
      </c>
      <c r="I17" s="60">
        <f t="shared" si="2"/>
        <v>15037.653265840707</v>
      </c>
      <c r="J17" s="60">
        <f t="shared" si="2"/>
        <v>14127.346653451328</v>
      </c>
      <c r="K17" s="60">
        <f t="shared" si="2"/>
        <v>12549.991834336284</v>
      </c>
      <c r="L17" s="60">
        <f t="shared" si="2"/>
        <v>11087.381546194691</v>
      </c>
      <c r="M17" s="39"/>
      <c r="N17" s="30">
        <v>1.1599999999999999</v>
      </c>
      <c r="O17" s="39">
        <v>0.20000113680000001</v>
      </c>
    </row>
    <row r="18" spans="1:59" ht="11.25" customHeight="1" x14ac:dyDescent="0.2">
      <c r="B18" s="30" t="str">
        <f>Processes!B59</f>
        <v>ERSOLPRR-N</v>
      </c>
      <c r="C18" s="30" t="str">
        <f>Processes!C59</f>
        <v>Solar PV rooftop residential</v>
      </c>
      <c r="D18" s="30" t="s">
        <v>366</v>
      </c>
      <c r="E18" s="43" t="s">
        <v>367</v>
      </c>
      <c r="G18" s="60">
        <f t="shared" si="2"/>
        <v>34133.772920353993</v>
      </c>
      <c r="H18" s="60">
        <f t="shared" si="2"/>
        <v>24167.901973451328</v>
      </c>
      <c r="I18" s="60">
        <f t="shared" si="2"/>
        <v>22686.114840707964</v>
      </c>
      <c r="J18" s="60">
        <f t="shared" si="2"/>
        <v>21312.807451327437</v>
      </c>
      <c r="K18" s="60">
        <f t="shared" si="2"/>
        <v>18933.177336283188</v>
      </c>
      <c r="L18" s="60">
        <f t="shared" si="2"/>
        <v>16726.653194690265</v>
      </c>
      <c r="M18" s="39"/>
      <c r="N18" s="30">
        <v>1.75</v>
      </c>
      <c r="O18" s="39">
        <v>0.20000113680000001</v>
      </c>
    </row>
    <row r="19" spans="1:59" ht="11.25" customHeight="1" x14ac:dyDescent="0.2">
      <c r="B19" s="30" t="str">
        <f>Processes!B60</f>
        <v>ERSOLPRI-N</v>
      </c>
      <c r="C19" s="30" t="str">
        <f>Processes!C60</f>
        <v>Solar PV rooftop Industry</v>
      </c>
      <c r="D19" s="30" t="s">
        <v>366</v>
      </c>
      <c r="E19" s="43" t="s">
        <v>365</v>
      </c>
      <c r="G19" s="60">
        <f t="shared" si="2"/>
        <v>22625.81519292036</v>
      </c>
      <c r="H19" s="60">
        <f t="shared" si="2"/>
        <v>16019.866450973452</v>
      </c>
      <c r="I19" s="60">
        <f t="shared" si="2"/>
        <v>15037.653265840707</v>
      </c>
      <c r="J19" s="60">
        <f t="shared" si="2"/>
        <v>14127.346653451328</v>
      </c>
      <c r="K19" s="60">
        <f t="shared" si="2"/>
        <v>12549.991834336284</v>
      </c>
      <c r="L19" s="60">
        <f t="shared" si="2"/>
        <v>11087.381546194691</v>
      </c>
      <c r="M19" s="39"/>
      <c r="N19" s="30">
        <v>1.1599999999999999</v>
      </c>
      <c r="O19" s="39">
        <v>0.20000113680000001</v>
      </c>
    </row>
    <row r="20" spans="1:59" ht="11.25" customHeight="1" x14ac:dyDescent="0.2">
      <c r="E20" s="43"/>
      <c r="G20" s="60"/>
      <c r="H20" s="60"/>
      <c r="I20" s="60"/>
      <c r="J20" s="60"/>
      <c r="K20" s="60"/>
      <c r="L20" s="60"/>
      <c r="M20" s="39"/>
      <c r="O20" s="39"/>
    </row>
    <row r="21" spans="1:59" ht="11.25" customHeight="1" x14ac:dyDescent="0.2">
      <c r="E21" s="43"/>
      <c r="G21" s="60"/>
      <c r="H21" s="60"/>
      <c r="I21" s="60"/>
      <c r="J21" s="60"/>
      <c r="K21" s="60"/>
      <c r="L21" s="60"/>
      <c r="M21" s="39"/>
      <c r="O21" s="39"/>
    </row>
    <row r="22" spans="1:59" ht="11.25" customHeight="1" x14ac:dyDescent="0.2">
      <c r="A22" s="30" t="s">
        <v>2503</v>
      </c>
      <c r="C22" s="30" t="str">
        <f>C11</f>
        <v>Solar PV tracking</v>
      </c>
      <c r="G22" s="39">
        <f t="shared" ref="G22" si="3">(-PMT(8.2%,25,1,0,1)*G11+0.017*G11)/(8.76*$O$11)/1000</f>
        <v>0.89064873782253617</v>
      </c>
      <c r="H22" s="39">
        <f>(-PMT(8.2%,25,1,0,1)*H11+0.017*H11)/(8.76*$O$11)/1000</f>
        <v>0.63061037637705064</v>
      </c>
      <c r="I22" s="39">
        <f>(-PMT(8.2%,25,1,0,1)*I11+0.017*I11)/(8.76*$O$11)/1000</f>
        <v>0.5919462696409159</v>
      </c>
      <c r="J22" s="39">
        <f>(-PMT(8.2%,25,1,0,1)*J11+0.017*J11)/(8.76*$O$11)/1000</f>
        <v>0.55611271277487206</v>
      </c>
      <c r="K22" s="39">
        <f>(-PMT(8.2%,25,1,0,1)*K11+0.017*K11)/(8.76*$O$11)/1000</f>
        <v>0.49402128902883652</v>
      </c>
      <c r="L22" s="39">
        <f>(-PMT(8.2%,25,1,0,1)*L11+0.017*L11)/(8.76*$O$11)/1000</f>
        <v>0.43644670018188197</v>
      </c>
    </row>
    <row r="23" spans="1:59" ht="11.25" customHeight="1" x14ac:dyDescent="0.2">
      <c r="A23" s="30" t="s">
        <v>382</v>
      </c>
      <c r="C23" s="30" t="str">
        <f>C22</f>
        <v>Solar PV tracking</v>
      </c>
      <c r="G23" s="39">
        <f>-PMT(8.2%,25,1,0,1)*G11*1.03/(8.76*$O$11)*0.868/1000</f>
        <v>0.66743229098965706</v>
      </c>
      <c r="H23" s="39">
        <f t="shared" ref="H23:L23" si="4">-PMT(8.2%,25,1,0,1)*H11*1.03/(8.76*$O$11)*0.868/1000</f>
        <v>0.47256534518443122</v>
      </c>
      <c r="I23" s="39">
        <f t="shared" si="4"/>
        <v>0.44359132631246062</v>
      </c>
      <c r="J23" s="39">
        <f t="shared" si="4"/>
        <v>0.41673845835479301</v>
      </c>
      <c r="K23" s="39">
        <f t="shared" si="4"/>
        <v>0.37020853085167515</v>
      </c>
      <c r="L23" s="39">
        <f t="shared" si="4"/>
        <v>0.32706341863733873</v>
      </c>
    </row>
    <row r="24" spans="1:59" ht="11.25" customHeight="1" x14ac:dyDescent="0.2">
      <c r="A24" s="30" t="s">
        <v>2503</v>
      </c>
      <c r="C24" s="30" t="str">
        <f>C12</f>
        <v>Wind</v>
      </c>
      <c r="G24" s="39">
        <f>(-PMT(8.2%,20,1,0,1)*G12+0.031*G12)/(8.76*$O$12)/1000</f>
        <v>0.88859127560375306</v>
      </c>
      <c r="H24" s="39">
        <f>(-PMT(8.2%,20,1,0,1)*H12+0.031*H12)/(8.76*$O$12)/1000</f>
        <v>0.72534771696886147</v>
      </c>
      <c r="I24" s="39">
        <f>(-PMT(8.2%,20,1,0,1)*I12+0.031*I12)/(8.76*$O$12)/1000</f>
        <v>0.71902268487689314</v>
      </c>
      <c r="J24" s="39"/>
      <c r="K24" s="39"/>
      <c r="L24" s="41" t="e">
        <f>-PMT(8.2%,20,1,0,1)*L12*1.04/(8.76*$AY$12)/1000</f>
        <v>#DIV/0!</v>
      </c>
    </row>
    <row r="25" spans="1:59" ht="11.25" customHeight="1" x14ac:dyDescent="0.2">
      <c r="A25" s="30" t="s">
        <v>382</v>
      </c>
      <c r="C25" s="30" t="str">
        <f>C24</f>
        <v>Wind</v>
      </c>
      <c r="G25" s="39">
        <f>G24*G23/G22</f>
        <v>0.66589047471126173</v>
      </c>
      <c r="H25" s="39">
        <f>H24*H23/H22</f>
        <v>0.54355939434015865</v>
      </c>
      <c r="I25" s="39">
        <f>I24*I23/I22</f>
        <v>0.53881955642151269</v>
      </c>
      <c r="K25" s="41" t="e">
        <f>H25*((1+O25)^(2040-2020))</f>
        <v>#DIV/0!</v>
      </c>
      <c r="L25" s="39" t="e">
        <f>L24*L23/L22</f>
        <v>#DIV/0!</v>
      </c>
      <c r="N25" s="30" t="e">
        <f>(L25/H25)^(1/(L5-H5))</f>
        <v>#DIV/0!</v>
      </c>
      <c r="O25" s="30" t="e">
        <f>N25-1</f>
        <v>#DIV/0!</v>
      </c>
    </row>
    <row r="26" spans="1:59" ht="11.25" customHeight="1" x14ac:dyDescent="0.2">
      <c r="A26" s="30" t="s">
        <v>92</v>
      </c>
      <c r="J26" s="30">
        <f>J23/G23-1</f>
        <v>-0.37560938543015288</v>
      </c>
      <c r="L26" s="30">
        <f>L22/G22-1</f>
        <v>-0.50996764308125586</v>
      </c>
    </row>
    <row r="27" spans="1:59" ht="11.25" customHeight="1" x14ac:dyDescent="0.2">
      <c r="A27" s="30" t="s">
        <v>92</v>
      </c>
    </row>
    <row r="28" spans="1:59" ht="11.25" customHeight="1" x14ac:dyDescent="0.2">
      <c r="A28" s="30" t="s">
        <v>92</v>
      </c>
    </row>
    <row r="29" spans="1:59" ht="11.25" customHeight="1" x14ac:dyDescent="0.25">
      <c r="A29" s="30" t="s">
        <v>92</v>
      </c>
      <c r="B29" s="30" t="s">
        <v>1995</v>
      </c>
      <c r="E29" s="30" t="s">
        <v>1921</v>
      </c>
      <c r="F29" s="363" t="s">
        <v>1975</v>
      </c>
      <c r="I29" s="30" t="s">
        <v>1741</v>
      </c>
      <c r="J29" s="381">
        <v>1</v>
      </c>
      <c r="K29" s="39">
        <v>0.93700000000000006</v>
      </c>
      <c r="L29" s="30" t="str">
        <f>IF(J29=1,"Overnight PV Costs (2022 R/kWac)","Overnight PV Costs Utility with s-axis tracking (2021 R/kWac)")</f>
        <v>Overnight PV Costs (2022 R/kWac)</v>
      </c>
    </row>
    <row r="30" spans="1:59" ht="11.25" customHeight="1" x14ac:dyDescent="0.2">
      <c r="A30" s="30" t="s">
        <v>1975</v>
      </c>
      <c r="G30" s="64"/>
      <c r="H30" s="60">
        <v>14722.225999999999</v>
      </c>
      <c r="I30" s="60">
        <v>13819.573999999999</v>
      </c>
      <c r="J30" s="60">
        <v>12983.003999999999</v>
      </c>
      <c r="K30" s="60">
        <v>11533.418</v>
      </c>
      <c r="L30" s="60">
        <v>10189.281999999999</v>
      </c>
      <c r="M30" s="375">
        <f>L30/H30</f>
        <v>0.69210199598892175</v>
      </c>
      <c r="N30" s="64"/>
      <c r="O30" s="64"/>
      <c r="P30" s="64"/>
      <c r="Q30" s="64"/>
      <c r="R30" s="64"/>
      <c r="S30" s="64"/>
      <c r="T30" s="64"/>
      <c r="U30" s="64"/>
      <c r="V30" s="64"/>
      <c r="W30" s="64"/>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row>
    <row r="31" spans="1:59" ht="11.25" customHeight="1" x14ac:dyDescent="0.2">
      <c r="A31" s="30" t="s">
        <v>1976</v>
      </c>
      <c r="G31" s="64"/>
      <c r="H31" s="60">
        <v>12772.103999999999</v>
      </c>
      <c r="I31" s="60">
        <v>10992.108</v>
      </c>
      <c r="J31" s="60">
        <v>9527.0559999999987</v>
      </c>
      <c r="K31" s="60">
        <v>7543.19</v>
      </c>
      <c r="L31" s="60">
        <v>7148.1039999999994</v>
      </c>
      <c r="M31" s="375">
        <f t="shared" ref="M31:M36" si="5">L31/H31</f>
        <v>0.55966534566270365</v>
      </c>
    </row>
    <row r="32" spans="1:59" ht="11.25" customHeight="1" x14ac:dyDescent="0.2">
      <c r="A32" s="30" t="s">
        <v>2004</v>
      </c>
      <c r="H32" s="60">
        <f>NBI_NREL_etc!D45*$J$29</f>
        <v>14276.377358490567</v>
      </c>
      <c r="I32" s="60">
        <f>NBI_NREL_etc!E45*$J$29</f>
        <v>11896.981132075472</v>
      </c>
      <c r="J32" s="60">
        <f>NBI_NREL_etc!F45*$J$29</f>
        <v>10707.283018867925</v>
      </c>
      <c r="K32" s="60">
        <f>NBI_NREL_etc!G45*$J$29</f>
        <v>7138.1886792452833</v>
      </c>
      <c r="L32" s="60">
        <f>NBI_NREL_etc!H45*$J$29</f>
        <v>4877.7622641509433</v>
      </c>
      <c r="M32" s="375">
        <f t="shared" si="5"/>
        <v>0.34166666666666667</v>
      </c>
    </row>
    <row r="33" spans="1:13" ht="11.25" customHeight="1" x14ac:dyDescent="0.2">
      <c r="A33" s="30" t="s">
        <v>1924</v>
      </c>
      <c r="H33" s="60">
        <f>12202/((Deflator!$X$3+Deflator!$W$3)/2)*J29</f>
        <v>10653.650203645851</v>
      </c>
      <c r="I33" s="60">
        <f>(H33+J33)/2</f>
        <v>10491.688876586657</v>
      </c>
      <c r="J33" s="60">
        <f>11831/((Deflator!$X$3+Deflator!$W$3)/2)*J29</f>
        <v>10329.727549527461</v>
      </c>
      <c r="K33" s="60">
        <f>(J33+L33)/2</f>
        <v>9197.7444738819231</v>
      </c>
      <c r="L33" s="60">
        <f>9238/((Deflator!$X$3+Deflator!$W$3)/2)*J29</f>
        <v>8065.7613982363864</v>
      </c>
      <c r="M33" s="375">
        <f t="shared" si="5"/>
        <v>0.75708900180298322</v>
      </c>
    </row>
    <row r="34" spans="1:13" ht="11.25" customHeight="1" x14ac:dyDescent="0.2">
      <c r="A34" s="30" t="s">
        <v>2497</v>
      </c>
      <c r="H34" s="60">
        <f>NBI_NREL_etc!D77*$J$29</f>
        <v>22878.556118989316</v>
      </c>
      <c r="I34" s="60">
        <f>NBI_NREL_etc!E77*$J$29</f>
        <v>22058.624714245787</v>
      </c>
      <c r="J34" s="60">
        <f>NBI_NREL_etc!F77*$J$29</f>
        <v>20299.193164678418</v>
      </c>
      <c r="K34" s="60">
        <f>NBI_NREL_etc!G77*$J$29</f>
        <v>17012.375919257604</v>
      </c>
      <c r="L34" s="60">
        <f>NBI_NREL_etc!H77*$J$29</f>
        <v>13957.604527550726</v>
      </c>
      <c r="M34" s="375">
        <f t="shared" si="5"/>
        <v>0.61007366264542562</v>
      </c>
    </row>
    <row r="35" spans="1:13" ht="11.25" customHeight="1" x14ac:dyDescent="0.2">
      <c r="A35" s="30" t="s">
        <v>2498</v>
      </c>
      <c r="H35" s="60">
        <f>NBI_NREL_etc!D78*$J$29</f>
        <v>22417.987656143807</v>
      </c>
      <c r="I35" s="60">
        <f>NBI_NREL_etc!E78*$J$29</f>
        <v>21001.203847885714</v>
      </c>
      <c r="J35" s="60">
        <f>NBI_NREL_etc!F78*$J$29</f>
        <v>17479.404187718224</v>
      </c>
      <c r="K35" s="60">
        <f>NBI_NREL_etc!G78*$J$29</f>
        <v>12853.739468303687</v>
      </c>
      <c r="L35" s="60">
        <f>NBI_NREL_etc!H78*$J$29</f>
        <v>10646.009349809612</v>
      </c>
      <c r="M35" s="375">
        <f t="shared" si="5"/>
        <v>0.47488693066935461</v>
      </c>
    </row>
    <row r="36" spans="1:13" ht="11.25" customHeight="1" x14ac:dyDescent="0.2">
      <c r="A36" s="30" t="s">
        <v>2499</v>
      </c>
      <c r="H36" s="60">
        <f>NBI_NREL_etc!D79*$J$29</f>
        <v>22076.430743943867</v>
      </c>
      <c r="I36" s="60">
        <f>NBI_NREL_etc!E79*$J$29</f>
        <v>20236.989576099302</v>
      </c>
      <c r="J36" s="60">
        <f>NBI_NREL_etc!F79*$J$29</f>
        <v>15441.49946295446</v>
      </c>
      <c r="K36" s="60">
        <f>NBI_NREL_etc!G79*$J$29</f>
        <v>10020.727144045391</v>
      </c>
      <c r="L36" s="60">
        <f>NBI_NREL_etc!H79*$J$29</f>
        <v>8770.1627325169393</v>
      </c>
      <c r="M36" s="375">
        <f t="shared" si="5"/>
        <v>0.39726361721415587</v>
      </c>
    </row>
    <row r="37" spans="1:13" ht="11.25" customHeight="1" x14ac:dyDescent="0.2">
      <c r="A37" s="30" t="s">
        <v>1954</v>
      </c>
      <c r="H37" s="60">
        <f>NBI_NREL_etc!E84*J29</f>
        <v>19897.02</v>
      </c>
      <c r="I37" s="60"/>
      <c r="J37" s="60"/>
      <c r="K37" s="60"/>
      <c r="L37" s="60"/>
    </row>
    <row r="38" spans="1:13" ht="11.25" customHeight="1" x14ac:dyDescent="0.2">
      <c r="A38" s="30" t="s">
        <v>1953</v>
      </c>
      <c r="H38" s="60">
        <f>NBI_NREL_etc!E85*J29</f>
        <v>16835.940000000002</v>
      </c>
      <c r="I38" s="60"/>
      <c r="J38" s="60"/>
      <c r="K38" s="60"/>
      <c r="L38" s="60"/>
    </row>
    <row r="39" spans="1:13" ht="11.25" customHeight="1" x14ac:dyDescent="0.2">
      <c r="A39" s="30" t="s">
        <v>1978</v>
      </c>
      <c r="H39" s="60">
        <f>NBI_NREL_etc!W117*J29</f>
        <v>20258.784</v>
      </c>
      <c r="I39" s="60"/>
      <c r="J39" s="60"/>
      <c r="K39" s="60"/>
      <c r="L39" s="60"/>
    </row>
    <row r="40" spans="1:13" ht="11.25" customHeight="1" x14ac:dyDescent="0.2">
      <c r="A40" s="30" t="s">
        <v>1972</v>
      </c>
      <c r="H40" s="60">
        <f>H30*1.01</f>
        <v>14869.448259999999</v>
      </c>
      <c r="I40" s="60">
        <f t="shared" ref="I40:L40" si="6">I30*1.01</f>
        <v>13957.769739999998</v>
      </c>
      <c r="J40" s="60">
        <f t="shared" si="6"/>
        <v>13112.83404</v>
      </c>
      <c r="K40" s="60">
        <f t="shared" si="6"/>
        <v>11648.752179999999</v>
      </c>
      <c r="L40" s="60">
        <f t="shared" si="6"/>
        <v>10291.17482</v>
      </c>
    </row>
    <row r="41" spans="1:13" ht="11.25" customHeight="1" x14ac:dyDescent="0.2">
      <c r="A41" s="30" t="s">
        <v>1973</v>
      </c>
      <c r="H41" s="60">
        <f>H30*1.05</f>
        <v>15458.337299999999</v>
      </c>
      <c r="I41" s="60">
        <f t="shared" ref="I41:L41" si="7">I30*1.05</f>
        <v>14510.552699999998</v>
      </c>
      <c r="J41" s="60">
        <f t="shared" si="7"/>
        <v>13632.154199999999</v>
      </c>
      <c r="K41" s="60">
        <f t="shared" si="7"/>
        <v>12110.088900000001</v>
      </c>
      <c r="L41" s="60">
        <f t="shared" si="7"/>
        <v>10698.7461</v>
      </c>
    </row>
    <row r="42" spans="1:13" ht="11.25" customHeight="1" x14ac:dyDescent="0.2">
      <c r="A42" s="30" t="s">
        <v>1974</v>
      </c>
      <c r="H42" s="60">
        <f>H30*1.1</f>
        <v>16194.4486</v>
      </c>
      <c r="I42" s="60">
        <f t="shared" ref="I42:L42" si="8">I30*1.1</f>
        <v>15201.5314</v>
      </c>
      <c r="J42" s="60">
        <f t="shared" si="8"/>
        <v>14281.304400000001</v>
      </c>
      <c r="K42" s="60">
        <f t="shared" si="8"/>
        <v>12686.7598</v>
      </c>
      <c r="L42" s="60">
        <f t="shared" si="8"/>
        <v>11208.2102</v>
      </c>
    </row>
    <row r="43" spans="1:13" ht="11.25" customHeight="1" x14ac:dyDescent="0.2">
      <c r="A43" s="30" t="s">
        <v>1951</v>
      </c>
      <c r="H43" s="60">
        <f>H30*1.25</f>
        <v>18402.782499999998</v>
      </c>
      <c r="I43" s="60">
        <f t="shared" ref="I43:L43" si="9">I30*1.25</f>
        <v>17274.467499999999</v>
      </c>
      <c r="J43" s="60">
        <f t="shared" si="9"/>
        <v>16228.754999999999</v>
      </c>
      <c r="K43" s="60">
        <f t="shared" si="9"/>
        <v>14416.772499999999</v>
      </c>
      <c r="L43" s="60">
        <f t="shared" si="9"/>
        <v>12736.602499999999</v>
      </c>
    </row>
    <row r="44" spans="1:13" ht="11.25" customHeight="1" x14ac:dyDescent="0.2">
      <c r="A44" s="30" t="s">
        <v>1952</v>
      </c>
      <c r="H44" s="60">
        <f>H30*1.5</f>
        <v>22083.339</v>
      </c>
      <c r="I44" s="60">
        <f t="shared" ref="I44:L44" si="10">I30*1.5</f>
        <v>20729.360999999997</v>
      </c>
      <c r="J44" s="60">
        <f t="shared" si="10"/>
        <v>19474.505999999998</v>
      </c>
      <c r="K44" s="60">
        <f t="shared" si="10"/>
        <v>17300.127</v>
      </c>
      <c r="L44" s="60">
        <f t="shared" si="10"/>
        <v>15283.922999999999</v>
      </c>
    </row>
    <row r="48" spans="1:13" ht="11.25" customHeight="1" x14ac:dyDescent="0.25">
      <c r="A48" s="30" t="s">
        <v>92</v>
      </c>
      <c r="B48" s="30" t="s">
        <v>239</v>
      </c>
      <c r="E48" s="30" t="s">
        <v>1921</v>
      </c>
      <c r="F48" s="363" t="s">
        <v>1975</v>
      </c>
      <c r="L48" s="30" t="str">
        <f>IF(J29=1,"Overnight Wind Costs (2022 R/kW)","Overnight Wind Costs Utility (2021 R/kW)")</f>
        <v>Overnight Wind Costs (2022 R/kW)</v>
      </c>
    </row>
    <row r="49" spans="1:12" ht="11.25" customHeight="1" x14ac:dyDescent="0.2">
      <c r="A49" s="30" t="s">
        <v>1975</v>
      </c>
      <c r="H49" s="60">
        <v>17575</v>
      </c>
      <c r="I49" s="60">
        <v>17421.745999999999</v>
      </c>
      <c r="J49" s="60">
        <v>17269.897999999997</v>
      </c>
      <c r="K49" s="60">
        <v>16969.013999999999</v>
      </c>
      <c r="L49" s="60">
        <v>16673.754000000001</v>
      </c>
    </row>
    <row r="50" spans="1:12" ht="11.25" customHeight="1" x14ac:dyDescent="0.2">
      <c r="A50" s="30" t="s">
        <v>1976</v>
      </c>
      <c r="H50" s="60">
        <v>17575</v>
      </c>
      <c r="I50" s="60">
        <v>17032.284</v>
      </c>
      <c r="J50" s="60">
        <v>16506.439999999999</v>
      </c>
      <c r="K50" s="60">
        <v>15502.555999999999</v>
      </c>
      <c r="L50" s="60">
        <v>14559.13</v>
      </c>
    </row>
    <row r="51" spans="1:12" ht="11.25" customHeight="1" x14ac:dyDescent="0.2">
      <c r="A51" s="30" t="s">
        <v>1919</v>
      </c>
      <c r="H51" s="60">
        <f>NBI_NREL_etc!D46</f>
        <v>27900.000000000004</v>
      </c>
      <c r="I51" s="60">
        <f>NBI_NREL_etc!E46</f>
        <v>24552.000000000004</v>
      </c>
      <c r="J51" s="60">
        <f>NBI_NREL_etc!F46</f>
        <v>22320.000000000004</v>
      </c>
      <c r="K51" s="60">
        <f>NBI_NREL_etc!G46</f>
        <v>20088.000000000004</v>
      </c>
      <c r="L51" s="60">
        <f>NBI_NREL_etc!H46</f>
        <v>18972</v>
      </c>
    </row>
    <row r="52" spans="1:12" ht="11.25" customHeight="1" x14ac:dyDescent="0.2">
      <c r="A52" s="30" t="s">
        <v>1924</v>
      </c>
      <c r="H52" s="60">
        <f>14652/((Deflator!$X$3+Deflator!$W$3)/2)*$J$29</f>
        <v>12792.762070465418</v>
      </c>
      <c r="I52" s="60">
        <f>12708/((Deflator!$X$3+Deflator!$W$3)/2)*$J$29</f>
        <v>11095.442287160424</v>
      </c>
      <c r="J52" s="60">
        <f>12708/((Deflator!$X$3+Deflator!$W$3)/2)*$J$29</f>
        <v>11095.442287160424</v>
      </c>
      <c r="K52" s="60">
        <f>12708/((Deflator!$X$3+Deflator!$W$3)/2)*$J$29</f>
        <v>11095.442287160424</v>
      </c>
      <c r="L52" s="60">
        <f>12708/((Deflator!$X$3+Deflator!$W$3)/2)*$J$29</f>
        <v>11095.442287160424</v>
      </c>
    </row>
    <row r="53" spans="1:12" ht="11.25" customHeight="1" x14ac:dyDescent="0.2">
      <c r="H53" s="60"/>
      <c r="I53" s="60"/>
      <c r="J53" s="60"/>
      <c r="K53" s="60"/>
      <c r="L53" s="60"/>
    </row>
    <row r="54" spans="1:12" ht="11.25" customHeight="1" x14ac:dyDescent="0.2">
      <c r="H54" s="60"/>
      <c r="I54" s="60"/>
      <c r="J54" s="60"/>
      <c r="K54" s="60"/>
      <c r="L54" s="60"/>
    </row>
    <row r="55" spans="1:12" ht="11.25" customHeight="1" x14ac:dyDescent="0.2">
      <c r="A55" s="30" t="s">
        <v>1923</v>
      </c>
    </row>
    <row r="56" spans="1:12" ht="11.25" customHeight="1" x14ac:dyDescent="0.2">
      <c r="A56" s="30" t="s">
        <v>1920</v>
      </c>
    </row>
    <row r="57" spans="1:12" ht="11.25" customHeight="1" x14ac:dyDescent="0.2">
      <c r="A57" s="30" t="s">
        <v>1972</v>
      </c>
      <c r="H57" s="60">
        <f>H$49*1.01</f>
        <v>17750.75</v>
      </c>
      <c r="I57" s="60">
        <f t="shared" ref="I57:L57" si="11">I$49*1.01</f>
        <v>17595.963459999999</v>
      </c>
      <c r="J57" s="60">
        <f t="shared" si="11"/>
        <v>17442.596979999998</v>
      </c>
      <c r="K57" s="60">
        <f t="shared" si="11"/>
        <v>17138.704139999998</v>
      </c>
      <c r="L57" s="60">
        <f t="shared" si="11"/>
        <v>16840.491540000003</v>
      </c>
    </row>
    <row r="58" spans="1:12" ht="11.25" customHeight="1" x14ac:dyDescent="0.2">
      <c r="A58" s="30" t="s">
        <v>1973</v>
      </c>
      <c r="H58" s="60">
        <f>H$49*1.05</f>
        <v>18453.75</v>
      </c>
      <c r="I58" s="60">
        <f t="shared" ref="I58:L58" si="12">I$49*1.05</f>
        <v>18292.833299999998</v>
      </c>
      <c r="J58" s="60">
        <f t="shared" si="12"/>
        <v>18133.392899999999</v>
      </c>
      <c r="K58" s="60">
        <f t="shared" si="12"/>
        <v>17817.4647</v>
      </c>
      <c r="L58" s="60">
        <f t="shared" si="12"/>
        <v>17507.441700000003</v>
      </c>
    </row>
    <row r="59" spans="1:12" ht="11.25" customHeight="1" x14ac:dyDescent="0.2">
      <c r="A59" s="30" t="s">
        <v>1974</v>
      </c>
      <c r="H59" s="60">
        <f>H$49*1.1</f>
        <v>19332.5</v>
      </c>
      <c r="I59" s="60">
        <f t="shared" ref="I59:L59" si="13">I$49*1.1</f>
        <v>19163.920600000001</v>
      </c>
      <c r="J59" s="60">
        <f t="shared" si="13"/>
        <v>18996.8878</v>
      </c>
      <c r="K59" s="60">
        <f t="shared" si="13"/>
        <v>18665.915400000002</v>
      </c>
      <c r="L59" s="60">
        <f t="shared" si="13"/>
        <v>18341.129400000002</v>
      </c>
    </row>
    <row r="60" spans="1:12" ht="11.25" customHeight="1" x14ac:dyDescent="0.2">
      <c r="A60" s="30" t="s">
        <v>1951</v>
      </c>
      <c r="H60" s="60">
        <f>H$49*1.25</f>
        <v>21968.75</v>
      </c>
      <c r="I60" s="60">
        <f>I$49*1.25</f>
        <v>21777.182499999999</v>
      </c>
      <c r="J60" s="60">
        <f>J$49*1.25</f>
        <v>21587.372499999998</v>
      </c>
      <c r="K60" s="60">
        <f>K$49*1.25</f>
        <v>21211.267499999998</v>
      </c>
      <c r="L60" s="60">
        <f>L$49*1.25</f>
        <v>20842.192500000001</v>
      </c>
    </row>
    <row r="61" spans="1:12" ht="11.25" customHeight="1" x14ac:dyDescent="0.2">
      <c r="A61" s="30" t="s">
        <v>1952</v>
      </c>
      <c r="H61" s="60">
        <f>H$49*1.5</f>
        <v>26362.5</v>
      </c>
      <c r="I61" s="60">
        <f>I$49*1.5</f>
        <v>26132.618999999999</v>
      </c>
      <c r="J61" s="60">
        <f>J$49*1.5</f>
        <v>25904.846999999994</v>
      </c>
      <c r="K61" s="60">
        <f>K$49*1.5</f>
        <v>25453.521000000001</v>
      </c>
      <c r="L61" s="60">
        <f>L$49*1.5</f>
        <v>25010.631000000001</v>
      </c>
    </row>
  </sheetData>
  <dataValidations count="3">
    <dataValidation type="list" allowBlank="1" showInputMessage="1" showErrorMessage="1" sqref="F48" xr:uid="{7FDFD597-1608-4CDB-A37E-AD61BEE76D61}">
      <formula1>$A$49:$A$61</formula1>
    </dataValidation>
    <dataValidation type="list" allowBlank="1" showInputMessage="1" showErrorMessage="1" sqref="F29" xr:uid="{B01EBA06-F0A1-4547-BE8D-09D56BF354FC}">
      <formula1>$A$30:$A$44</formula1>
    </dataValidation>
    <dataValidation type="list" allowBlank="1" showInputMessage="1" showErrorMessage="1" sqref="O5" xr:uid="{4B8EF137-4518-4080-8404-4C19417C3DE8}">
      <formula1>$X$6:$X$7</formula1>
    </dataValidation>
  </dataValidations>
  <pageMargins left="0.75" right="0.75" top="1" bottom="1" header="0.5" footer="0.5"/>
  <pageSetup paperSize="9" orientation="landscape" horizontalDpi="1200" verticalDpi="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7EB67-975B-4BB1-9E73-D952AFCC4D48}">
  <sheetPr codeName="Sheet35">
    <tabColor rgb="FF00B0F0"/>
  </sheetPr>
  <dimension ref="A1:Z28"/>
  <sheetViews>
    <sheetView topLeftCell="B1" workbookViewId="0">
      <selection activeCell="I7" sqref="I7"/>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0.140625" style="30" customWidth="1"/>
    <col min="6" max="6" width="6.85546875" style="37" customWidth="1"/>
    <col min="7" max="7" width="9.140625" style="30"/>
    <col min="8" max="8" width="12" style="30" customWidth="1"/>
    <col min="9" max="9" width="12.28515625" style="30" customWidth="1"/>
    <col min="10" max="10" width="12" style="30" customWidth="1"/>
    <col min="11" max="11" width="13" style="30" customWidth="1"/>
    <col min="12" max="12" width="10.5703125" style="30" customWidth="1"/>
    <col min="13" max="13" width="11.7109375" style="30" customWidth="1"/>
    <col min="14" max="14" width="11.28515625" style="30" customWidth="1"/>
    <col min="15" max="15" width="6.85546875" style="30" customWidth="1"/>
    <col min="16" max="16" width="6.5703125" style="30" customWidth="1"/>
    <col min="17" max="16384" width="9.140625" style="30"/>
  </cols>
  <sheetData>
    <row r="1" spans="1:26" ht="11.25" customHeight="1" x14ac:dyDescent="0.2">
      <c r="A1" s="47"/>
      <c r="B1" s="9"/>
    </row>
    <row r="2" spans="1:26" ht="11.25" customHeight="1" x14ac:dyDescent="0.2">
      <c r="A2" s="45"/>
    </row>
    <row r="3" spans="1:26" ht="34.5" customHeight="1" x14ac:dyDescent="0.2">
      <c r="F3" s="59" t="s">
        <v>387</v>
      </c>
      <c r="H3" s="59" t="s">
        <v>362</v>
      </c>
      <c r="I3" s="59" t="s">
        <v>1755</v>
      </c>
      <c r="J3" s="59" t="s">
        <v>1755</v>
      </c>
      <c r="K3" s="59" t="s">
        <v>142</v>
      </c>
      <c r="L3" s="59" t="s">
        <v>1756</v>
      </c>
      <c r="M3" s="59" t="s">
        <v>1756</v>
      </c>
      <c r="O3" s="59" t="s">
        <v>380</v>
      </c>
      <c r="P3" s="59" t="s">
        <v>153</v>
      </c>
    </row>
    <row r="4" spans="1:26" ht="17.25" customHeight="1" x14ac:dyDescent="0.25">
      <c r="B4" s="495"/>
      <c r="C4" s="495"/>
      <c r="D4" s="495"/>
      <c r="E4" s="495" t="s">
        <v>2451</v>
      </c>
      <c r="F4" s="496"/>
      <c r="G4" s="495"/>
      <c r="H4" s="495"/>
      <c r="I4" s="495"/>
      <c r="J4" s="495"/>
      <c r="K4" s="495"/>
      <c r="L4" s="495"/>
      <c r="M4" s="495"/>
      <c r="N4" s="495"/>
      <c r="O4" s="495"/>
      <c r="P4" s="495"/>
    </row>
    <row r="5" spans="1:26" ht="33" customHeight="1" x14ac:dyDescent="0.25">
      <c r="B5" s="495" t="s">
        <v>2411</v>
      </c>
      <c r="C5" s="495" t="s">
        <v>2412</v>
      </c>
      <c r="D5" s="495" t="s">
        <v>2421</v>
      </c>
      <c r="E5" s="495" t="s">
        <v>2422</v>
      </c>
      <c r="F5" s="497" t="s">
        <v>2447</v>
      </c>
      <c r="G5" s="498" t="s">
        <v>118</v>
      </c>
      <c r="H5" s="498" t="s">
        <v>146</v>
      </c>
      <c r="I5" s="498" t="s">
        <v>353</v>
      </c>
      <c r="J5" s="498" t="s">
        <v>2446</v>
      </c>
      <c r="K5" s="498" t="s">
        <v>116</v>
      </c>
      <c r="L5" s="499" t="s">
        <v>144</v>
      </c>
      <c r="M5" s="498" t="s">
        <v>2549</v>
      </c>
      <c r="N5" s="498" t="s">
        <v>2505</v>
      </c>
      <c r="O5" s="498" t="s">
        <v>376</v>
      </c>
      <c r="P5" s="498" t="s">
        <v>352</v>
      </c>
      <c r="R5" s="30" t="s">
        <v>2553</v>
      </c>
    </row>
    <row r="6" spans="1:26" ht="11.25" customHeight="1" x14ac:dyDescent="0.25">
      <c r="A6" s="33" t="s">
        <v>141</v>
      </c>
      <c r="E6" s="36"/>
      <c r="L6" s="493"/>
      <c r="T6" s="30" t="s">
        <v>2536</v>
      </c>
      <c r="U6" s="30" t="s">
        <v>2537</v>
      </c>
    </row>
    <row r="7" spans="1:26" s="37" customFormat="1" ht="11.25" customHeight="1" x14ac:dyDescent="0.25">
      <c r="A7" s="30"/>
      <c r="B7" s="30" t="str">
        <f>Processes!B90</f>
        <v>ETRANS</v>
      </c>
      <c r="C7" s="30" t="str">
        <f>Processes!C90</f>
        <v>Transmission</v>
      </c>
      <c r="D7" s="30" t="s">
        <v>129</v>
      </c>
      <c r="E7" s="43" t="s">
        <v>120</v>
      </c>
      <c r="F7" s="67">
        <v>3.9E-2</v>
      </c>
      <c r="G7" s="41">
        <v>0.96099999999999997</v>
      </c>
      <c r="H7" s="39">
        <f>INDEX(ElecBY!$Q$58:$Q$80,MATCH(B7,ElecBY!$D$58:$D$80,0))</f>
        <v>287.90817659056211</v>
      </c>
      <c r="I7" s="39">
        <f>INDEX(ElecBY!$N$58:$N$80,MATCH(B7,ElecBY!$D$58:$D$80,0))</f>
        <v>6329.306544990015</v>
      </c>
      <c r="J7" s="30">
        <f>9706.0655*1.406</f>
        <v>13646.728093</v>
      </c>
      <c r="K7" s="30">
        <v>31.536000000000001</v>
      </c>
      <c r="L7" s="494">
        <f>INDEX($Z$8:$Z$23,MATCH(B7,$W$8:$W$23,0))</f>
        <v>33.415486068174701</v>
      </c>
      <c r="M7" s="39">
        <f>L7/2</f>
        <v>16.707743034087351</v>
      </c>
      <c r="N7" s="37">
        <v>0</v>
      </c>
      <c r="O7" s="37">
        <v>-5</v>
      </c>
      <c r="P7" s="37">
        <v>60</v>
      </c>
      <c r="R7" s="37">
        <v>33158</v>
      </c>
      <c r="T7" s="37" t="s">
        <v>2538</v>
      </c>
      <c r="U7" s="37" t="s">
        <v>2539</v>
      </c>
      <c r="V7" s="37" t="s">
        <v>2431</v>
      </c>
      <c r="W7" s="37" t="s">
        <v>1400</v>
      </c>
      <c r="X7" s="37" t="s">
        <v>2540</v>
      </c>
      <c r="Y7" s="37" t="s">
        <v>2541</v>
      </c>
      <c r="Z7" s="37">
        <v>2017</v>
      </c>
    </row>
    <row r="8" spans="1:26" s="37" customFormat="1" ht="11.25" customHeight="1" x14ac:dyDescent="0.25">
      <c r="A8" s="30"/>
      <c r="B8" s="30" t="str">
        <f>Processes!B92</f>
        <v>ELCDEM</v>
      </c>
      <c r="C8" s="30" t="str">
        <f>Processes!C92</f>
        <v>Electricity Demand</v>
      </c>
      <c r="D8" s="30" t="s">
        <v>129</v>
      </c>
      <c r="E8" s="43" t="str">
        <f>Commodities!B31</f>
        <v>ELCD</v>
      </c>
      <c r="F8" s="67">
        <v>0</v>
      </c>
      <c r="G8" s="41">
        <v>1</v>
      </c>
      <c r="H8" s="39"/>
      <c r="I8" s="39"/>
      <c r="J8" s="30"/>
      <c r="K8" s="30">
        <v>31.536000000000001</v>
      </c>
      <c r="L8" s="494"/>
      <c r="M8" s="39"/>
      <c r="P8" s="37">
        <v>60</v>
      </c>
      <c r="T8" s="37" t="s">
        <v>2542</v>
      </c>
      <c r="U8" s="37" t="s">
        <v>1099</v>
      </c>
      <c r="V8" s="37" t="s">
        <v>2543</v>
      </c>
      <c r="W8" s="37" t="s">
        <v>125</v>
      </c>
      <c r="X8" s="37" t="s">
        <v>1099</v>
      </c>
      <c r="Y8" s="37" t="s">
        <v>2544</v>
      </c>
      <c r="Z8" s="37">
        <v>33.415486068174701</v>
      </c>
    </row>
    <row r="9" spans="1:26" s="37" customFormat="1" ht="11.25" customHeight="1" x14ac:dyDescent="0.25">
      <c r="A9" s="30"/>
      <c r="B9" s="30" t="str">
        <f>Processes!B91</f>
        <v>ETRANSDUM</v>
      </c>
      <c r="C9" s="30" t="str">
        <f>Processes!C91</f>
        <v>dummy tech tracking investment costs</v>
      </c>
      <c r="D9" s="43"/>
      <c r="E9" s="30" t="s">
        <v>386</v>
      </c>
      <c r="F9" s="37">
        <v>0</v>
      </c>
      <c r="G9" s="41">
        <v>1</v>
      </c>
      <c r="I9" s="37">
        <f>2000*1.406</f>
        <v>2812</v>
      </c>
      <c r="K9" s="30">
        <v>31.536000000000001</v>
      </c>
      <c r="L9" s="494">
        <v>53</v>
      </c>
      <c r="M9" s="39">
        <f>L9/2</f>
        <v>26.5</v>
      </c>
      <c r="N9" s="37">
        <v>0</v>
      </c>
      <c r="O9" s="37">
        <v>-2</v>
      </c>
      <c r="P9" s="37">
        <v>60</v>
      </c>
      <c r="T9" s="37" t="s">
        <v>2542</v>
      </c>
      <c r="U9" s="37" t="s">
        <v>1099</v>
      </c>
      <c r="V9" s="37" t="s">
        <v>2543</v>
      </c>
      <c r="W9" s="37" t="s">
        <v>203</v>
      </c>
      <c r="X9" s="37" t="s">
        <v>1099</v>
      </c>
      <c r="Y9" s="37" t="s">
        <v>2544</v>
      </c>
      <c r="Z9" s="37">
        <v>0.70651323532010601</v>
      </c>
    </row>
    <row r="10" spans="1:26" ht="11.25" customHeight="1" x14ac:dyDescent="0.25">
      <c r="B10" s="30" t="str">
        <f>Processes!B93</f>
        <v>XAGRELC</v>
      </c>
      <c r="C10" s="30" t="str">
        <f>Processes!C93</f>
        <v xml:space="preserve">Agriculatural Electricity                         </v>
      </c>
      <c r="D10" s="43" t="s">
        <v>120</v>
      </c>
      <c r="E10" s="30" t="str">
        <f t="shared" ref="E10:E24" si="0">RIGHT(B10,LEN(B10)-1)</f>
        <v>AGRELC</v>
      </c>
      <c r="F10" s="65">
        <v>0.13</v>
      </c>
      <c r="G10" s="41">
        <f t="shared" ref="G10:G24" si="1">1-F10</f>
        <v>0.87</v>
      </c>
      <c r="H10" s="39">
        <f>INDEX(ElecBY!$Q$58:$Q$80,MATCH(B10,ElecBY!$D$58:$D$80,0))</f>
        <v>1682.5746917057777</v>
      </c>
      <c r="I10" s="39">
        <f>INDEX(ElecBY!$N$58:$N$80,MATCH(B10,ElecBY!$D$58:$D$80,0))</f>
        <v>36989.331580508653</v>
      </c>
      <c r="K10" s="30">
        <v>31.536000000000001</v>
      </c>
      <c r="L10" s="494">
        <f t="shared" ref="L10:L24" si="2">INDEX($Z$8:$Z$23,MATCH(B10,$W$8:$W$23,0))</f>
        <v>0.70651323532010601</v>
      </c>
      <c r="M10" s="39">
        <f t="shared" ref="M10:M24" si="3">L10/2</f>
        <v>0.35325661766005301</v>
      </c>
      <c r="N10" s="37">
        <v>0</v>
      </c>
      <c r="O10" s="37">
        <f>O9</f>
        <v>-2</v>
      </c>
      <c r="P10" s="37">
        <v>60</v>
      </c>
      <c r="R10" s="39">
        <f>L10/$L$28*$R$28</f>
        <v>10.611950414675341</v>
      </c>
      <c r="T10" s="30" t="s">
        <v>2542</v>
      </c>
      <c r="U10" s="30" t="s">
        <v>1099</v>
      </c>
      <c r="V10" s="30" t="s">
        <v>2543</v>
      </c>
      <c r="W10" s="30" t="s">
        <v>201</v>
      </c>
      <c r="X10" s="30" t="s">
        <v>1099</v>
      </c>
      <c r="Y10" s="30" t="s">
        <v>2544</v>
      </c>
      <c r="Z10" s="30">
        <v>5.2331854230062804</v>
      </c>
    </row>
    <row r="11" spans="1:26" ht="11.25" customHeight="1" x14ac:dyDescent="0.25">
      <c r="B11" s="30" t="str">
        <f>Processes!B94</f>
        <v>XCOMELC</v>
      </c>
      <c r="C11" s="30" t="str">
        <f>Processes!C94</f>
        <v xml:space="preserve">Commercial Electricity                            </v>
      </c>
      <c r="D11" s="43" t="s">
        <v>120</v>
      </c>
      <c r="E11" s="30" t="str">
        <f t="shared" si="0"/>
        <v>COMELC</v>
      </c>
      <c r="F11" s="67">
        <v>0.123</v>
      </c>
      <c r="G11" s="41">
        <f t="shared" si="1"/>
        <v>0.877</v>
      </c>
      <c r="H11" s="39">
        <f>INDEX(ElecBY!$Q$58:$Q$80,MATCH(B11,ElecBY!$D$58:$D$80,0))</f>
        <v>841.28734857821848</v>
      </c>
      <c r="I11" s="39">
        <f>INDEX(ElecBY!$N$58:$N$80,MATCH(B11,ElecBY!$D$58:$D$80,0))</f>
        <v>18494.665850167337</v>
      </c>
      <c r="K11" s="30">
        <v>31.536000000000001</v>
      </c>
      <c r="L11" s="494">
        <f t="shared" si="2"/>
        <v>5.2331854230062804</v>
      </c>
      <c r="M11" s="39">
        <f t="shared" si="3"/>
        <v>2.6165927115031402</v>
      </c>
      <c r="N11" s="37">
        <v>0</v>
      </c>
      <c r="O11" s="37">
        <f t="shared" ref="O11:O24" si="4">O9</f>
        <v>-2</v>
      </c>
      <c r="P11" s="37">
        <v>60</v>
      </c>
      <c r="R11" s="39">
        <f t="shared" ref="R11:R23" si="5">L11/$L$28*$R$28</f>
        <v>78.60334590134471</v>
      </c>
      <c r="T11" s="30" t="s">
        <v>2542</v>
      </c>
      <c r="U11" s="30" t="s">
        <v>1099</v>
      </c>
      <c r="V11" s="30" t="s">
        <v>2543</v>
      </c>
      <c r="W11" s="30" t="s">
        <v>199</v>
      </c>
      <c r="X11" s="30" t="s">
        <v>1099</v>
      </c>
      <c r="Y11" s="30" t="s">
        <v>2544</v>
      </c>
      <c r="Z11" s="30">
        <v>1.12250955749996</v>
      </c>
    </row>
    <row r="12" spans="1:26" ht="11.25" customHeight="1" x14ac:dyDescent="0.25">
      <c r="B12" s="30" t="str">
        <f>Processes!B95</f>
        <v>XICPELC</v>
      </c>
      <c r="C12" s="30" t="str">
        <f>Processes!C95</f>
        <v xml:space="preserve">Industrial CP-Electricity                         </v>
      </c>
      <c r="D12" s="43" t="s">
        <v>365</v>
      </c>
      <c r="E12" s="30" t="str">
        <f t="shared" si="0"/>
        <v>ICPELC</v>
      </c>
      <c r="F12" s="65">
        <v>0.06</v>
      </c>
      <c r="G12" s="41">
        <f t="shared" si="1"/>
        <v>0.94</v>
      </c>
      <c r="H12" s="39">
        <f>INDEX(ElecBY!$Q$58:$Q$80,MATCH(B12,ElecBY!$D$58:$D$80,0))</f>
        <v>399.90133318243045</v>
      </c>
      <c r="I12" s="39">
        <f>INDEX(ElecBY!$N$58:$N$80,MATCH(B12,ElecBY!$D$58:$D$80,0))</f>
        <v>8791.3381114607855</v>
      </c>
      <c r="K12" s="30">
        <v>31.536000000000001</v>
      </c>
      <c r="L12" s="494">
        <f t="shared" si="2"/>
        <v>1.12250955749996</v>
      </c>
      <c r="M12" s="39">
        <f t="shared" si="3"/>
        <v>0.56125477874997998</v>
      </c>
      <c r="N12" s="37">
        <v>0</v>
      </c>
      <c r="O12" s="37">
        <f t="shared" si="4"/>
        <v>-2</v>
      </c>
      <c r="P12" s="37">
        <v>60</v>
      </c>
      <c r="R12" s="39">
        <f t="shared" si="5"/>
        <v>16.860286784000095</v>
      </c>
      <c r="T12" s="30" t="s">
        <v>2542</v>
      </c>
      <c r="U12" s="30" t="s">
        <v>1099</v>
      </c>
      <c r="V12" s="30" t="s">
        <v>2543</v>
      </c>
      <c r="W12" s="30" t="s">
        <v>197</v>
      </c>
      <c r="X12" s="30" t="s">
        <v>1099</v>
      </c>
      <c r="Y12" s="30" t="s">
        <v>2544</v>
      </c>
      <c r="Z12" s="30">
        <v>1.58594905680284</v>
      </c>
    </row>
    <row r="13" spans="1:26" ht="11.25" customHeight="1" x14ac:dyDescent="0.25">
      <c r="B13" s="30" t="str">
        <f>Processes!B96</f>
        <v>XIFAELC</v>
      </c>
      <c r="C13" s="30" t="str">
        <f>Processes!C96</f>
        <v xml:space="preserve">Industrial FA-Electricity                         </v>
      </c>
      <c r="D13" s="43" t="s">
        <v>365</v>
      </c>
      <c r="E13" s="30" t="str">
        <f t="shared" si="0"/>
        <v>IFAELC</v>
      </c>
      <c r="F13" s="65">
        <v>0.06</v>
      </c>
      <c r="G13" s="41">
        <f t="shared" si="1"/>
        <v>0.94</v>
      </c>
      <c r="H13" s="39">
        <f>INDEX(ElecBY!$Q$58:$Q$80,MATCH(B13,ElecBY!$D$58:$D$80,0))</f>
        <v>399.90133318243056</v>
      </c>
      <c r="I13" s="39">
        <f>INDEX(ElecBY!$N$58:$N$80,MATCH(B13,ElecBY!$D$58:$D$80,0))</f>
        <v>8791.3381114607873</v>
      </c>
      <c r="K13" s="30">
        <v>31.536000000000001</v>
      </c>
      <c r="L13" s="494">
        <f t="shared" si="2"/>
        <v>1.58594905680284</v>
      </c>
      <c r="M13" s="39">
        <f t="shared" si="3"/>
        <v>0.79297452840142002</v>
      </c>
      <c r="N13" s="37">
        <v>0</v>
      </c>
      <c r="O13" s="37">
        <f t="shared" si="4"/>
        <v>-2</v>
      </c>
      <c r="P13" s="37">
        <v>60</v>
      </c>
      <c r="R13" s="39">
        <f t="shared" si="5"/>
        <v>23.821227840646955</v>
      </c>
      <c r="T13" s="30" t="s">
        <v>2542</v>
      </c>
      <c r="U13" s="30" t="s">
        <v>1099</v>
      </c>
      <c r="V13" s="30" t="s">
        <v>2543</v>
      </c>
      <c r="W13" s="30" t="s">
        <v>195</v>
      </c>
      <c r="X13" s="30" t="s">
        <v>1099</v>
      </c>
      <c r="Y13" s="30" t="s">
        <v>2544</v>
      </c>
      <c r="Z13" s="30">
        <v>0.48383797886058599</v>
      </c>
    </row>
    <row r="14" spans="1:26" ht="11.25" customHeight="1" x14ac:dyDescent="0.25">
      <c r="B14" s="30" t="str">
        <f>Processes!B97</f>
        <v>XIFBELC</v>
      </c>
      <c r="C14" s="30" t="str">
        <f>Processes!C97</f>
        <v xml:space="preserve">Industrial FB-Electricity                         </v>
      </c>
      <c r="D14" s="43" t="s">
        <v>365</v>
      </c>
      <c r="E14" s="30" t="str">
        <f t="shared" si="0"/>
        <v>IFBELC</v>
      </c>
      <c r="F14" s="65">
        <v>0.06</v>
      </c>
      <c r="G14" s="41">
        <f t="shared" si="1"/>
        <v>0.94</v>
      </c>
      <c r="H14" s="39">
        <f>INDEX(ElecBY!$Q$58:$Q$80,MATCH(B14,ElecBY!$D$58:$D$80,0))</f>
        <v>642.49329547478794</v>
      </c>
      <c r="I14" s="39">
        <f>INDEX(ElecBY!$N$58:$N$80,MATCH(B14,ElecBY!$D$58:$D$80,0))</f>
        <v>14124.423516959903</v>
      </c>
      <c r="K14" s="30">
        <v>31.536000000000001</v>
      </c>
      <c r="L14" s="494">
        <f t="shared" si="2"/>
        <v>0.48383797886058599</v>
      </c>
      <c r="M14" s="39">
        <f t="shared" si="3"/>
        <v>0.241918989430293</v>
      </c>
      <c r="N14" s="37">
        <v>0</v>
      </c>
      <c r="O14" s="37">
        <f t="shared" si="4"/>
        <v>-2</v>
      </c>
      <c r="P14" s="37">
        <v>60</v>
      </c>
      <c r="R14" s="39">
        <f t="shared" si="5"/>
        <v>7.2673297310261402</v>
      </c>
      <c r="T14" s="30" t="s">
        <v>2542</v>
      </c>
      <c r="U14" s="30" t="s">
        <v>1099</v>
      </c>
      <c r="V14" s="30" t="s">
        <v>2543</v>
      </c>
      <c r="W14" s="30" t="s">
        <v>193</v>
      </c>
      <c r="X14" s="30" t="s">
        <v>1099</v>
      </c>
      <c r="Y14" s="30" t="s">
        <v>2544</v>
      </c>
      <c r="Z14" s="30">
        <v>0.562522336635223</v>
      </c>
    </row>
    <row r="15" spans="1:26" ht="11.25" customHeight="1" x14ac:dyDescent="0.25">
      <c r="B15" s="30" t="str">
        <f>Processes!B98</f>
        <v>XIISELC</v>
      </c>
      <c r="C15" s="30" t="str">
        <f>Processes!C98</f>
        <v xml:space="preserve">Industrial IS-Electricity                         </v>
      </c>
      <c r="D15" s="43" t="s">
        <v>365</v>
      </c>
      <c r="E15" s="30" t="str">
        <f t="shared" si="0"/>
        <v>IISELC</v>
      </c>
      <c r="F15" s="65">
        <v>0.06</v>
      </c>
      <c r="G15" s="41">
        <f t="shared" si="1"/>
        <v>0.94</v>
      </c>
      <c r="H15" s="39">
        <f>INDEX(ElecBY!$Q$58:$Q$80,MATCH(B15,ElecBY!$D$58:$D$80,0))</f>
        <v>399.90133318243051</v>
      </c>
      <c r="I15" s="39">
        <f>INDEX(ElecBY!$N$58:$N$80,MATCH(B15,ElecBY!$D$58:$D$80,0))</f>
        <v>8791.3381114607855</v>
      </c>
      <c r="K15" s="30">
        <v>31.536000000000001</v>
      </c>
      <c r="L15" s="494">
        <f t="shared" si="2"/>
        <v>0.562522336635223</v>
      </c>
      <c r="M15" s="39">
        <f t="shared" si="3"/>
        <v>0.2812611683176115</v>
      </c>
      <c r="N15" s="37">
        <v>0</v>
      </c>
      <c r="O15" s="37">
        <f t="shared" si="4"/>
        <v>-2</v>
      </c>
      <c r="P15" s="37">
        <v>60</v>
      </c>
      <c r="R15" s="39">
        <f t="shared" si="5"/>
        <v>8.449182329635569</v>
      </c>
      <c r="T15" s="30" t="s">
        <v>2542</v>
      </c>
      <c r="U15" s="30" t="s">
        <v>1099</v>
      </c>
      <c r="V15" s="30" t="s">
        <v>2543</v>
      </c>
      <c r="W15" s="30" t="s">
        <v>191</v>
      </c>
      <c r="X15" s="30" t="s">
        <v>1099</v>
      </c>
      <c r="Y15" s="30" t="s">
        <v>2544</v>
      </c>
      <c r="Z15" s="30">
        <v>2.5111534543695799</v>
      </c>
    </row>
    <row r="16" spans="1:26" ht="11.25" customHeight="1" x14ac:dyDescent="0.25">
      <c r="B16" s="30" t="str">
        <f>Processes!B99</f>
        <v>XIMIELC</v>
      </c>
      <c r="C16" s="30" t="str">
        <f>Processes!C99</f>
        <v xml:space="preserve">Industrial MI-Electricity                         </v>
      </c>
      <c r="D16" s="43" t="s">
        <v>365</v>
      </c>
      <c r="E16" s="30" t="str">
        <f t="shared" si="0"/>
        <v>IMIELC</v>
      </c>
      <c r="F16" s="65">
        <v>0.05</v>
      </c>
      <c r="G16" s="41">
        <f t="shared" si="1"/>
        <v>0.95</v>
      </c>
      <c r="H16" s="39">
        <f>INDEX(ElecBY!$Q$58:$Q$80,MATCH(B16,ElecBY!$D$58:$D$80,0))</f>
        <v>399.90133318243051</v>
      </c>
      <c r="I16" s="39">
        <f>INDEX(ElecBY!$N$58:$N$80,MATCH(B16,ElecBY!$D$58:$D$80,0))</f>
        <v>8791.3381114607873</v>
      </c>
      <c r="K16" s="30">
        <v>31.536000000000001</v>
      </c>
      <c r="L16" s="494">
        <f t="shared" si="2"/>
        <v>2.5111534543695799</v>
      </c>
      <c r="M16" s="39">
        <f t="shared" si="3"/>
        <v>1.25557672718479</v>
      </c>
      <c r="N16" s="37">
        <v>0</v>
      </c>
      <c r="O16" s="37">
        <f t="shared" si="4"/>
        <v>-2</v>
      </c>
      <c r="P16" s="37">
        <v>60</v>
      </c>
      <c r="R16" s="39">
        <f t="shared" si="5"/>
        <v>37.717957158066447</v>
      </c>
      <c r="T16" s="30" t="s">
        <v>2542</v>
      </c>
      <c r="U16" s="30" t="s">
        <v>1099</v>
      </c>
      <c r="V16" s="30" t="s">
        <v>2543</v>
      </c>
      <c r="W16" s="30" t="s">
        <v>175</v>
      </c>
      <c r="X16" s="30" t="s">
        <v>1099</v>
      </c>
      <c r="Y16" s="30" t="s">
        <v>2544</v>
      </c>
      <c r="Z16" s="30">
        <v>10.7020838802912</v>
      </c>
    </row>
    <row r="17" spans="2:26" ht="11.25" customHeight="1" x14ac:dyDescent="0.25">
      <c r="B17" s="30" t="str">
        <f>Processes!B100</f>
        <v>XINFELC</v>
      </c>
      <c r="C17" s="30" t="str">
        <f>Processes!C100</f>
        <v xml:space="preserve">Industrial NF-Electricity                         </v>
      </c>
      <c r="D17" s="43" t="s">
        <v>365</v>
      </c>
      <c r="E17" s="30" t="str">
        <f t="shared" si="0"/>
        <v>INFELC</v>
      </c>
      <c r="F17" s="65">
        <v>0.06</v>
      </c>
      <c r="G17" s="41">
        <f t="shared" si="1"/>
        <v>0.94</v>
      </c>
      <c r="H17" s="39">
        <f>INDEX(ElecBY!$Q$58:$Q$80,MATCH(B17,ElecBY!$D$58:$D$80,0))</f>
        <v>399.90133318243051</v>
      </c>
      <c r="I17" s="39">
        <f>INDEX(ElecBY!$N$58:$N$80,MATCH(B17,ElecBY!$D$58:$D$80,0))</f>
        <v>8791.3381114607873</v>
      </c>
      <c r="K17" s="30">
        <v>31.536000000000001</v>
      </c>
      <c r="L17" s="494">
        <f t="shared" si="2"/>
        <v>2.63042861198283</v>
      </c>
      <c r="M17" s="39">
        <f t="shared" si="3"/>
        <v>1.315214305991415</v>
      </c>
      <c r="N17" s="37">
        <v>0</v>
      </c>
      <c r="O17" s="37">
        <f t="shared" si="4"/>
        <v>-2</v>
      </c>
      <c r="P17" s="37">
        <v>60</v>
      </c>
      <c r="R17" s="39">
        <f t="shared" si="5"/>
        <v>39.509490557608373</v>
      </c>
      <c r="T17" s="30" t="s">
        <v>2542</v>
      </c>
      <c r="U17" s="30" t="s">
        <v>1099</v>
      </c>
      <c r="V17" s="30" t="s">
        <v>2543</v>
      </c>
      <c r="W17" s="30" t="s">
        <v>189</v>
      </c>
      <c r="X17" s="30" t="s">
        <v>1099</v>
      </c>
      <c r="Y17" s="30" t="s">
        <v>2544</v>
      </c>
      <c r="Z17" s="30">
        <v>2.63042861198283</v>
      </c>
    </row>
    <row r="18" spans="2:26" ht="11.25" customHeight="1" x14ac:dyDescent="0.25">
      <c r="B18" s="30" t="str">
        <f>Processes!B101</f>
        <v>XINMELC</v>
      </c>
      <c r="C18" s="30" t="str">
        <f>Processes!C101</f>
        <v xml:space="preserve">Industrial NM-Electricity                         </v>
      </c>
      <c r="D18" s="43" t="s">
        <v>365</v>
      </c>
      <c r="E18" s="30" t="str">
        <f t="shared" si="0"/>
        <v>INMELC</v>
      </c>
      <c r="F18" s="65">
        <v>0.06</v>
      </c>
      <c r="G18" s="41">
        <f t="shared" si="1"/>
        <v>0.94</v>
      </c>
      <c r="H18" s="39">
        <f>INDEX(ElecBY!$Q$58:$Q$80,MATCH(B18,ElecBY!$D$58:$D$80,0))</f>
        <v>399.90133318243051</v>
      </c>
      <c r="I18" s="39">
        <f>INDEX(ElecBY!$N$58:$N$80,MATCH(B18,ElecBY!$D$58:$D$80,0))</f>
        <v>8791.3381114607855</v>
      </c>
      <c r="K18" s="30">
        <v>31.536000000000001</v>
      </c>
      <c r="L18" s="494">
        <f t="shared" si="2"/>
        <v>0.18205004339081099</v>
      </c>
      <c r="M18" s="39">
        <f t="shared" si="3"/>
        <v>9.1025021695405495E-2</v>
      </c>
      <c r="N18" s="37">
        <v>0</v>
      </c>
      <c r="O18" s="37">
        <f t="shared" si="4"/>
        <v>-2</v>
      </c>
      <c r="P18" s="37">
        <v>60</v>
      </c>
      <c r="R18" s="39">
        <f t="shared" si="5"/>
        <v>2.7344229900767183</v>
      </c>
      <c r="T18" s="30" t="s">
        <v>2542</v>
      </c>
      <c r="U18" s="30" t="s">
        <v>1099</v>
      </c>
      <c r="V18" s="30" t="s">
        <v>2543</v>
      </c>
      <c r="W18" s="30" t="s">
        <v>187</v>
      </c>
      <c r="X18" s="30" t="s">
        <v>1099</v>
      </c>
      <c r="Y18" s="30" t="s">
        <v>2544</v>
      </c>
      <c r="Z18" s="30">
        <v>0.18205004339081099</v>
      </c>
    </row>
    <row r="19" spans="2:26" ht="11.25" customHeight="1" x14ac:dyDescent="0.25">
      <c r="B19" s="30" t="str">
        <f>Processes!B102</f>
        <v>XIOTELC</v>
      </c>
      <c r="C19" s="30" t="str">
        <f>Processes!C102</f>
        <v xml:space="preserve">Industrial OT-Electricity                         </v>
      </c>
      <c r="D19" s="43" t="s">
        <v>365</v>
      </c>
      <c r="E19" s="30" t="str">
        <f t="shared" si="0"/>
        <v>IOTELC</v>
      </c>
      <c r="F19" s="65">
        <v>0.06</v>
      </c>
      <c r="G19" s="41">
        <f t="shared" si="1"/>
        <v>0.94</v>
      </c>
      <c r="H19" s="39">
        <f>INDEX(ElecBY!$Q$58:$Q$80,MATCH(B19,ElecBY!$D$58:$D$80,0))</f>
        <v>642.49329547478783</v>
      </c>
      <c r="I19" s="39">
        <f>INDEX(ElecBY!$N$58:$N$80,MATCH(B19,ElecBY!$D$58:$D$80,0))</f>
        <v>14124.4235169599</v>
      </c>
      <c r="K19" s="30">
        <v>31.536000000000001</v>
      </c>
      <c r="L19" s="494">
        <f t="shared" si="2"/>
        <v>0.73158166306046901</v>
      </c>
      <c r="M19" s="39">
        <f t="shared" si="3"/>
        <v>0.36579083153023451</v>
      </c>
      <c r="N19" s="37">
        <v>0</v>
      </c>
      <c r="O19" s="37">
        <f t="shared" si="4"/>
        <v>-2</v>
      </c>
      <c r="P19" s="37">
        <v>60</v>
      </c>
      <c r="R19" s="39">
        <f t="shared" si="5"/>
        <v>10.988482514649482</v>
      </c>
      <c r="T19" s="30" t="s">
        <v>2542</v>
      </c>
      <c r="U19" s="30" t="s">
        <v>1099</v>
      </c>
      <c r="V19" s="30" t="s">
        <v>2543</v>
      </c>
      <c r="W19" s="30" t="s">
        <v>185</v>
      </c>
      <c r="X19" s="30" t="s">
        <v>1099</v>
      </c>
      <c r="Y19" s="30" t="s">
        <v>2544</v>
      </c>
      <c r="Z19" s="30">
        <v>0.73158166306046901</v>
      </c>
    </row>
    <row r="20" spans="2:26" ht="11.25" customHeight="1" x14ac:dyDescent="0.25">
      <c r="B20" s="30" t="str">
        <f>Processes!B103</f>
        <v>XIPPELC</v>
      </c>
      <c r="C20" s="30" t="str">
        <f>Processes!C103</f>
        <v xml:space="preserve">Industrial PP-Electricity                         </v>
      </c>
      <c r="D20" s="43" t="s">
        <v>365</v>
      </c>
      <c r="E20" s="30" t="str">
        <f t="shared" si="0"/>
        <v>IPPELC</v>
      </c>
      <c r="F20" s="65">
        <v>0.06</v>
      </c>
      <c r="G20" s="41">
        <f t="shared" si="1"/>
        <v>0.94</v>
      </c>
      <c r="H20" s="39">
        <f>INDEX(ElecBY!$Q$58:$Q$80,MATCH(B20,ElecBY!$D$58:$D$80,0))</f>
        <v>642.49329547478783</v>
      </c>
      <c r="I20" s="39">
        <f>INDEX(ElecBY!$N$58:$N$80,MATCH(B20,ElecBY!$D$58:$D$80,0))</f>
        <v>14124.423516959905</v>
      </c>
      <c r="K20" s="30">
        <v>31.536000000000001</v>
      </c>
      <c r="L20" s="494">
        <f t="shared" si="2"/>
        <v>0.28475331678632898</v>
      </c>
      <c r="M20" s="39">
        <f t="shared" si="3"/>
        <v>0.14237665839316449</v>
      </c>
      <c r="N20" s="37">
        <v>0</v>
      </c>
      <c r="O20" s="37">
        <f t="shared" si="4"/>
        <v>-2</v>
      </c>
      <c r="P20" s="37">
        <v>60</v>
      </c>
      <c r="R20" s="39">
        <f t="shared" si="5"/>
        <v>4.277043835961198</v>
      </c>
      <c r="T20" s="30" t="s">
        <v>2542</v>
      </c>
      <c r="U20" s="30" t="s">
        <v>1099</v>
      </c>
      <c r="V20" s="30" t="s">
        <v>2543</v>
      </c>
      <c r="W20" s="30" t="s">
        <v>183</v>
      </c>
      <c r="X20" s="30" t="s">
        <v>1099</v>
      </c>
      <c r="Y20" s="30" t="s">
        <v>2544</v>
      </c>
      <c r="Z20" s="30">
        <v>0.28475331678632898</v>
      </c>
    </row>
    <row r="21" spans="2:26" ht="11.25" customHeight="1" x14ac:dyDescent="0.25">
      <c r="B21" s="30" t="str">
        <f>Processes!B104</f>
        <v>XRESELC</v>
      </c>
      <c r="C21" s="30" t="str">
        <f>Processes!C104</f>
        <v xml:space="preserve">Residential Electricity                           </v>
      </c>
      <c r="D21" s="43" t="s">
        <v>120</v>
      </c>
      <c r="E21" s="30" t="str">
        <f t="shared" si="0"/>
        <v>RESELC</v>
      </c>
      <c r="F21" s="67">
        <v>0.19700000000000001</v>
      </c>
      <c r="G21" s="41">
        <f t="shared" si="1"/>
        <v>0.80299999999999994</v>
      </c>
      <c r="H21" s="39">
        <f>INDEX(ElecBY!$Q$58:$Q$80,MATCH(B21,ElecBY!$D$58:$D$80,0))</f>
        <v>1682.5746917057779</v>
      </c>
      <c r="I21" s="39">
        <f>INDEX(ElecBY!$N$58:$N$80,MATCH(B21,ElecBY!$D$58:$D$80,0))</f>
        <v>36989.331580508653</v>
      </c>
      <c r="K21" s="30">
        <v>31.536000000000001</v>
      </c>
      <c r="L21" s="494">
        <f t="shared" si="2"/>
        <v>7.3380801029109204</v>
      </c>
      <c r="M21" s="39">
        <f t="shared" si="3"/>
        <v>3.6690400514554602</v>
      </c>
      <c r="N21" s="37">
        <v>0</v>
      </c>
      <c r="O21" s="37">
        <f t="shared" si="4"/>
        <v>-2</v>
      </c>
      <c r="P21" s="37">
        <v>60</v>
      </c>
      <c r="R21" s="39">
        <f t="shared" si="5"/>
        <v>110.21922633299937</v>
      </c>
      <c r="T21" s="30" t="s">
        <v>2542</v>
      </c>
      <c r="U21" s="30" t="s">
        <v>1099</v>
      </c>
      <c r="V21" s="30" t="s">
        <v>2543</v>
      </c>
      <c r="W21" s="30" t="s">
        <v>181</v>
      </c>
      <c r="X21" s="30" t="s">
        <v>1099</v>
      </c>
      <c r="Y21" s="30" t="s">
        <v>2544</v>
      </c>
      <c r="Z21" s="30">
        <v>7.3380801029109204</v>
      </c>
    </row>
    <row r="22" spans="2:26" ht="11.25" customHeight="1" x14ac:dyDescent="0.25">
      <c r="B22" s="30" t="str">
        <f>Processes!B105</f>
        <v>XTRAELC</v>
      </c>
      <c r="C22" s="30" t="str">
        <f>Processes!C105</f>
        <v xml:space="preserve">Transport Electricity                             </v>
      </c>
      <c r="D22" s="43" t="s">
        <v>120</v>
      </c>
      <c r="E22" s="30" t="str">
        <f t="shared" si="0"/>
        <v>TRAELC</v>
      </c>
      <c r="F22" s="67">
        <v>4.8000000000000001E-2</v>
      </c>
      <c r="G22" s="41">
        <f t="shared" si="1"/>
        <v>0.95199999999999996</v>
      </c>
      <c r="H22" s="39">
        <f>INDEX(ElecBY!$Q$58:$Q$80,MATCH(B22,ElecBY!$D$58:$D$80,0))</f>
        <v>841.28734857821848</v>
      </c>
      <c r="I22" s="39">
        <f>INDEX(ElecBY!$N$58:$N$80,MATCH(B22,ElecBY!$D$58:$D$80,0))</f>
        <v>18494.665850167337</v>
      </c>
      <c r="K22" s="30">
        <v>31.536000000000001</v>
      </c>
      <c r="L22" s="494">
        <f t="shared" si="2"/>
        <v>0.450625700991029</v>
      </c>
      <c r="M22" s="39">
        <f t="shared" si="3"/>
        <v>0.2253128504955145</v>
      </c>
      <c r="N22" s="37">
        <v>0</v>
      </c>
      <c r="O22" s="37">
        <f t="shared" si="4"/>
        <v>-2</v>
      </c>
      <c r="P22" s="37">
        <v>60</v>
      </c>
      <c r="R22" s="39">
        <f t="shared" si="5"/>
        <v>6.768475600217859</v>
      </c>
      <c r="T22" s="30" t="s">
        <v>2542</v>
      </c>
      <c r="U22" s="30" t="s">
        <v>1099</v>
      </c>
      <c r="V22" s="30" t="s">
        <v>2543</v>
      </c>
      <c r="W22" s="30" t="s">
        <v>179</v>
      </c>
      <c r="X22" s="30" t="s">
        <v>1099</v>
      </c>
      <c r="Y22" s="30" t="s">
        <v>2544</v>
      </c>
      <c r="Z22" s="30">
        <v>0.450625700991029</v>
      </c>
    </row>
    <row r="23" spans="2:26" ht="11.25" customHeight="1" x14ac:dyDescent="0.25">
      <c r="B23" s="30" t="str">
        <f>Processes!B106</f>
        <v>XUPSELC</v>
      </c>
      <c r="C23" s="30" t="str">
        <f>Processes!C106</f>
        <v xml:space="preserve">Supply Sector Electricity                         </v>
      </c>
      <c r="D23" s="43" t="s">
        <v>120</v>
      </c>
      <c r="E23" s="30" t="str">
        <f t="shared" si="0"/>
        <v>UPSELC</v>
      </c>
      <c r="F23" s="65">
        <v>0.06</v>
      </c>
      <c r="G23" s="41">
        <f t="shared" si="1"/>
        <v>0.94</v>
      </c>
      <c r="H23" s="39">
        <f>INDEX(ElecBY!$Q$58:$Q$80,MATCH(B23,ElecBY!$D$58:$D$80,0))</f>
        <v>420.64367428910924</v>
      </c>
      <c r="I23" s="39">
        <f>INDEX(ElecBY!$N$58:$N$80,MATCH(B23,ElecBY!$D$58:$D$80,0))</f>
        <v>9247.3329250836687</v>
      </c>
      <c r="K23" s="30">
        <v>31.536000000000001</v>
      </c>
      <c r="L23" s="494">
        <f t="shared" si="2"/>
        <v>0.57067109007853201</v>
      </c>
      <c r="M23" s="39">
        <f t="shared" si="3"/>
        <v>0.285335545039266</v>
      </c>
      <c r="N23" s="37">
        <v>0</v>
      </c>
      <c r="O23" s="37">
        <f t="shared" si="4"/>
        <v>-2</v>
      </c>
      <c r="P23" s="37">
        <v>60</v>
      </c>
      <c r="R23" s="39">
        <f t="shared" si="5"/>
        <v>8.5715780090917804</v>
      </c>
      <c r="T23" s="30" t="s">
        <v>2542</v>
      </c>
      <c r="U23" s="30" t="s">
        <v>1099</v>
      </c>
      <c r="V23" s="30" t="s">
        <v>2543</v>
      </c>
      <c r="W23" s="30" t="s">
        <v>177</v>
      </c>
      <c r="X23" s="30" t="s">
        <v>1099</v>
      </c>
      <c r="Y23" s="30" t="s">
        <v>2544</v>
      </c>
      <c r="Z23" s="30">
        <v>0.57067109007853201</v>
      </c>
    </row>
    <row r="24" spans="2:26" ht="11.25" customHeight="1" x14ac:dyDescent="0.25">
      <c r="B24" s="30" t="str">
        <f>Processes!B107</f>
        <v>XINDELC</v>
      </c>
      <c r="C24" s="30" t="str">
        <f>Processes!C107</f>
        <v>Industry Electricity</v>
      </c>
      <c r="D24" s="43" t="s">
        <v>120</v>
      </c>
      <c r="E24" s="30" t="str">
        <f t="shared" si="0"/>
        <v>INDELC</v>
      </c>
      <c r="F24" s="37">
        <v>0</v>
      </c>
      <c r="G24" s="41">
        <f t="shared" si="1"/>
        <v>1</v>
      </c>
      <c r="H24" s="39">
        <v>0.01</v>
      </c>
      <c r="K24" s="30">
        <v>31.536000000000001</v>
      </c>
      <c r="L24" s="494">
        <f t="shared" si="2"/>
        <v>10.7020838802912</v>
      </c>
      <c r="M24" s="39">
        <f t="shared" si="3"/>
        <v>5.3510419401456</v>
      </c>
      <c r="N24" s="37">
        <v>0</v>
      </c>
      <c r="O24" s="37">
        <f t="shared" si="4"/>
        <v>-2</v>
      </c>
      <c r="P24" s="37">
        <v>60</v>
      </c>
    </row>
    <row r="26" spans="2:26" ht="11.25" customHeight="1" x14ac:dyDescent="0.2">
      <c r="Q26" s="30" t="s">
        <v>2552</v>
      </c>
      <c r="R26" s="30">
        <v>358.1</v>
      </c>
    </row>
    <row r="27" spans="2:26" ht="11.25" customHeight="1" x14ac:dyDescent="0.2">
      <c r="Q27" s="30" t="s">
        <v>2554</v>
      </c>
      <c r="R27" s="30">
        <v>8.3000000000000007</v>
      </c>
    </row>
    <row r="28" spans="2:26" ht="11.25" customHeight="1" x14ac:dyDescent="0.2">
      <c r="L28" s="39">
        <f>SUM(L10:L23)</f>
        <v>24.393861571695496</v>
      </c>
      <c r="Q28" s="30" t="s">
        <v>115</v>
      </c>
      <c r="R28" s="30">
        <f>R26+R27</f>
        <v>366.40000000000003</v>
      </c>
    </row>
  </sheetData>
  <pageMargins left="0.75" right="0.75" top="1" bottom="1" header="0.5" footer="0.5"/>
  <pageSetup paperSize="9" orientation="landscape" horizontalDpi="1200" verticalDpi="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4B1AC-ACFE-496A-9177-CB5F9B1B4418}">
  <sheetPr codeName="Sheet38">
    <tabColor rgb="FF00B0F0"/>
  </sheetPr>
  <dimension ref="A1:Y25"/>
  <sheetViews>
    <sheetView workbookViewId="0">
      <selection activeCell="F11" sqref="F11"/>
    </sheetView>
  </sheetViews>
  <sheetFormatPr defaultColWidth="9.140625" defaultRowHeight="11.25" customHeight="1" x14ac:dyDescent="0.2"/>
  <cols>
    <col min="1" max="1" width="12.28515625" style="30" customWidth="1"/>
    <col min="2" max="2" width="15.28515625" style="30" customWidth="1"/>
    <col min="3" max="3" width="19.5703125" style="30" customWidth="1"/>
    <col min="4" max="4" width="12.28515625" style="30" customWidth="1"/>
    <col min="5" max="6" width="10.140625" style="30" customWidth="1"/>
    <col min="7" max="7" width="9.140625" style="30"/>
    <col min="8" max="8" width="9.140625" style="30" customWidth="1"/>
    <col min="9" max="16384" width="9.140625" style="30"/>
  </cols>
  <sheetData>
    <row r="1" spans="1:25" ht="11.25" customHeight="1" x14ac:dyDescent="0.2">
      <c r="A1" s="47"/>
      <c r="B1" s="9"/>
      <c r="P1" s="30" t="s">
        <v>92</v>
      </c>
      <c r="Q1" s="30" t="s">
        <v>92</v>
      </c>
      <c r="R1" s="30" t="s">
        <v>92</v>
      </c>
      <c r="S1" s="30" t="s">
        <v>92</v>
      </c>
      <c r="T1" s="30" t="s">
        <v>92</v>
      </c>
      <c r="U1" s="30" t="s">
        <v>92</v>
      </c>
      <c r="V1" s="30" t="s">
        <v>92</v>
      </c>
      <c r="W1" s="30" t="s">
        <v>92</v>
      </c>
      <c r="X1" s="30" t="s">
        <v>92</v>
      </c>
      <c r="Y1" s="30" t="s">
        <v>92</v>
      </c>
    </row>
    <row r="2" spans="1:25" ht="11.25" customHeight="1" x14ac:dyDescent="0.2">
      <c r="A2" s="45"/>
    </row>
    <row r="3" spans="1:25" ht="34.5" customHeight="1" x14ac:dyDescent="0.2">
      <c r="G3" s="59" t="s">
        <v>363</v>
      </c>
      <c r="H3" s="30" t="s">
        <v>1759</v>
      </c>
      <c r="I3" s="30" t="s">
        <v>1759</v>
      </c>
      <c r="J3" s="30" t="s">
        <v>1759</v>
      </c>
      <c r="K3" s="30" t="s">
        <v>1759</v>
      </c>
      <c r="L3" s="30" t="s">
        <v>1759</v>
      </c>
      <c r="P3" s="59" t="s">
        <v>1982</v>
      </c>
    </row>
    <row r="4" spans="1:25" ht="21.75" customHeight="1" x14ac:dyDescent="0.2">
      <c r="D4" s="58"/>
      <c r="E4" s="58"/>
      <c r="F4" s="58"/>
      <c r="H4" s="46" t="s">
        <v>1764</v>
      </c>
      <c r="I4" s="46" t="s">
        <v>1764</v>
      </c>
      <c r="J4" s="46" t="s">
        <v>1764</v>
      </c>
      <c r="K4" s="46" t="s">
        <v>1764</v>
      </c>
      <c r="L4" s="46" t="s">
        <v>1764</v>
      </c>
    </row>
    <row r="5" spans="1:25" ht="16.5" customHeight="1" x14ac:dyDescent="0.2">
      <c r="H5" s="46">
        <v>0</v>
      </c>
      <c r="I5" s="46">
        <v>2017</v>
      </c>
      <c r="J5" s="46">
        <v>2018</v>
      </c>
      <c r="K5" s="46">
        <v>2019</v>
      </c>
      <c r="L5" s="46">
        <v>2020</v>
      </c>
    </row>
    <row r="6" spans="1:25" ht="17.25" customHeight="1" x14ac:dyDescent="0.25">
      <c r="E6" s="495" t="s">
        <v>2451</v>
      </c>
      <c r="F6" s="495"/>
    </row>
    <row r="7" spans="1:25" ht="21.75" customHeight="1" x14ac:dyDescent="0.2">
      <c r="B7" s="47" t="s">
        <v>2411</v>
      </c>
      <c r="C7" s="47" t="s">
        <v>2412</v>
      </c>
      <c r="D7" s="47" t="s">
        <v>2421</v>
      </c>
      <c r="E7" s="47" t="s">
        <v>2422</v>
      </c>
      <c r="F7" s="47" t="s">
        <v>2535</v>
      </c>
      <c r="G7" s="46" t="s">
        <v>117</v>
      </c>
      <c r="H7" s="59" t="str">
        <f t="shared" ref="H7:L7" si="0">IFERROR(REPLACE(H4,SEARCH("-",H4),1,"~"),H4)&amp;"~"&amp;H5</f>
        <v>ACT_BND~FX~0</v>
      </c>
      <c r="I7" s="59" t="str">
        <f t="shared" si="0"/>
        <v>ACT_BND~FX~2017</v>
      </c>
      <c r="J7" s="59" t="str">
        <f t="shared" si="0"/>
        <v>ACT_BND~FX~2018</v>
      </c>
      <c r="K7" s="59" t="str">
        <f t="shared" si="0"/>
        <v>ACT_BND~FX~2019</v>
      </c>
      <c r="L7" s="59" t="str">
        <f t="shared" si="0"/>
        <v>ACT_BND~FX~2020</v>
      </c>
    </row>
    <row r="8" spans="1:25" ht="11.25" customHeight="1" x14ac:dyDescent="0.2">
      <c r="A8" s="33" t="s">
        <v>1760</v>
      </c>
      <c r="E8" s="36"/>
      <c r="F8" s="36"/>
    </row>
    <row r="9" spans="1:25" s="37" customFormat="1" ht="11.25" customHeight="1" x14ac:dyDescent="0.2">
      <c r="A9" s="30"/>
      <c r="B9" s="30" t="str">
        <f>Processes!B120</f>
        <v>PEXELC</v>
      </c>
      <c r="C9" s="30" t="str">
        <f>Processes!C120</f>
        <v>Exports of Electricity</v>
      </c>
      <c r="D9" s="30" t="s">
        <v>120</v>
      </c>
      <c r="E9" s="43" t="str">
        <f>Commodities!B8</f>
        <v>ZDUMETRANS</v>
      </c>
      <c r="F9" s="39">
        <v>1</v>
      </c>
      <c r="G9" s="39">
        <f>-W22</f>
        <v>-183.3809560376387</v>
      </c>
      <c r="H9" s="37">
        <v>3</v>
      </c>
      <c r="I9" s="379">
        <f t="shared" ref="I9:L9" si="1">U13</f>
        <v>54.964800000000004</v>
      </c>
      <c r="J9" s="379">
        <f t="shared" si="1"/>
        <v>44.8596</v>
      </c>
      <c r="K9" s="379">
        <f t="shared" si="1"/>
        <v>54.680399999999999</v>
      </c>
      <c r="L9" s="379">
        <f t="shared" si="1"/>
        <v>51.462720000000004</v>
      </c>
      <c r="P9" s="9"/>
      <c r="Q9" s="9"/>
      <c r="R9" s="9"/>
      <c r="S9" s="9">
        <v>2019</v>
      </c>
      <c r="T9" s="9">
        <v>2018</v>
      </c>
      <c r="U9" s="9">
        <v>2017</v>
      </c>
      <c r="V9" s="9">
        <v>2016</v>
      </c>
      <c r="W9" s="9">
        <v>2015</v>
      </c>
    </row>
    <row r="10" spans="1:25" s="37" customFormat="1" ht="11.25" customHeight="1" x14ac:dyDescent="0.2">
      <c r="A10" s="30"/>
      <c r="B10" s="30"/>
      <c r="C10" s="30"/>
      <c r="D10" s="43"/>
      <c r="E10" s="30"/>
      <c r="F10" s="30"/>
      <c r="G10" s="39"/>
      <c r="Q10" s="9"/>
      <c r="R10" s="9" t="s">
        <v>1090</v>
      </c>
      <c r="S10" s="9">
        <v>15189</v>
      </c>
      <c r="T10" s="9">
        <v>12461</v>
      </c>
      <c r="U10" s="9">
        <v>15268</v>
      </c>
      <c r="V10" s="9">
        <v>15093</v>
      </c>
      <c r="W10" s="9">
        <v>13465</v>
      </c>
    </row>
    <row r="11" spans="1:25" s="37" customFormat="1" ht="11.25" customHeight="1" x14ac:dyDescent="0.2">
      <c r="A11" s="30"/>
      <c r="B11" s="30"/>
      <c r="C11" s="30"/>
      <c r="D11" s="43"/>
      <c r="E11" s="30"/>
      <c r="F11" s="30"/>
      <c r="G11" s="39"/>
      <c r="P11" s="9"/>
      <c r="Q11" s="9"/>
      <c r="S11" s="30">
        <v>2015</v>
      </c>
      <c r="T11" s="30">
        <v>2016</v>
      </c>
      <c r="U11" s="30">
        <v>2017</v>
      </c>
      <c r="V11" s="30">
        <v>2018</v>
      </c>
      <c r="W11" s="30">
        <v>2019</v>
      </c>
      <c r="X11" s="37">
        <v>2020</v>
      </c>
      <c r="Y11" s="37" t="s">
        <v>139</v>
      </c>
    </row>
    <row r="12" spans="1:25" ht="11.25" customHeight="1" x14ac:dyDescent="0.2">
      <c r="D12" s="43"/>
      <c r="G12" s="39"/>
      <c r="Q12" s="9" t="s">
        <v>1981</v>
      </c>
      <c r="R12" s="9" t="s">
        <v>1090</v>
      </c>
      <c r="S12" s="30" cm="1">
        <f t="array" ref="S12">INDEX($S$10:$W$10,1,S9-2014)</f>
        <v>13465</v>
      </c>
      <c r="T12" s="30" cm="1">
        <f t="array" ref="T12">INDEX($S$10:$W$10,1,T9-2014)</f>
        <v>15093</v>
      </c>
      <c r="U12" s="30" cm="1">
        <f t="array" ref="U12">INDEX($S$10:$W$10,1,U9-2014)</f>
        <v>15268</v>
      </c>
      <c r="V12" s="30" cm="1">
        <f t="array" ref="V12">INDEX($S$10:$W$10,1,V9-2014)</f>
        <v>12461</v>
      </c>
      <c r="W12" s="30" cm="1">
        <f t="array" ref="W12">INDEX($S$10:$W$10,1,W9-2014)</f>
        <v>15189</v>
      </c>
      <c r="X12" s="30">
        <f>AVERAGE(S12:W12)</f>
        <v>14295.2</v>
      </c>
      <c r="Y12" s="59" t="s">
        <v>1982</v>
      </c>
    </row>
    <row r="13" spans="1:25" ht="11.25" customHeight="1" x14ac:dyDescent="0.2">
      <c r="D13" s="43"/>
      <c r="G13" s="39"/>
      <c r="R13" s="9" t="s">
        <v>114</v>
      </c>
      <c r="S13" s="378">
        <f>S12/1000*3.6</f>
        <v>48.474000000000004</v>
      </c>
      <c r="T13" s="378">
        <f t="shared" ref="T13:X13" si="2">T12/1000*3.6</f>
        <v>54.334800000000001</v>
      </c>
      <c r="U13" s="378">
        <f t="shared" si="2"/>
        <v>54.964800000000004</v>
      </c>
      <c r="V13" s="378">
        <f t="shared" si="2"/>
        <v>44.8596</v>
      </c>
      <c r="W13" s="378">
        <f t="shared" si="2"/>
        <v>54.680399999999999</v>
      </c>
      <c r="X13" s="378">
        <f t="shared" si="2"/>
        <v>51.462720000000004</v>
      </c>
    </row>
    <row r="14" spans="1:25" ht="11.25" customHeight="1" x14ac:dyDescent="0.2">
      <c r="D14" s="43"/>
      <c r="G14" s="39"/>
    </row>
    <row r="15" spans="1:25" ht="11.25" customHeight="1" x14ac:dyDescent="0.2">
      <c r="D15" s="43"/>
      <c r="G15" s="39"/>
      <c r="S15" s="30">
        <f>S9</f>
        <v>2019</v>
      </c>
      <c r="T15" s="30">
        <f t="shared" ref="T15:W15" si="3">T9</f>
        <v>2018</v>
      </c>
      <c r="U15" s="30">
        <f t="shared" si="3"/>
        <v>2017</v>
      </c>
      <c r="V15" s="30">
        <f t="shared" si="3"/>
        <v>2016</v>
      </c>
      <c r="W15" s="30">
        <f t="shared" si="3"/>
        <v>2015</v>
      </c>
    </row>
    <row r="16" spans="1:25" ht="11.25" customHeight="1" x14ac:dyDescent="0.2">
      <c r="D16" s="43"/>
      <c r="G16" s="39"/>
      <c r="Q16" s="30" t="s">
        <v>1983</v>
      </c>
      <c r="R16" s="30" t="s">
        <v>132</v>
      </c>
      <c r="S16" s="30">
        <v>12229</v>
      </c>
      <c r="T16" s="30">
        <v>8241</v>
      </c>
      <c r="U16" s="30">
        <v>9530</v>
      </c>
      <c r="V16" s="30">
        <v>10682</v>
      </c>
      <c r="W16" s="30">
        <v>8055</v>
      </c>
    </row>
    <row r="17" spans="4:23" ht="11.25" customHeight="1" x14ac:dyDescent="0.2">
      <c r="D17" s="43"/>
      <c r="G17" s="39"/>
      <c r="S17" s="30">
        <f>S11</f>
        <v>2015</v>
      </c>
      <c r="T17" s="30">
        <f t="shared" ref="T17:W17" si="4">T11</f>
        <v>2016</v>
      </c>
      <c r="U17" s="30">
        <f t="shared" si="4"/>
        <v>2017</v>
      </c>
      <c r="V17" s="30">
        <f t="shared" si="4"/>
        <v>2018</v>
      </c>
      <c r="W17" s="30">
        <f t="shared" si="4"/>
        <v>2019</v>
      </c>
    </row>
    <row r="18" spans="4:23" ht="11.25" customHeight="1" x14ac:dyDescent="0.2">
      <c r="D18" s="43"/>
      <c r="G18" s="39"/>
      <c r="S18" s="30" cm="1">
        <f t="array" ref="S18">INDEX($S$16:$W$16,1,S15-2014)</f>
        <v>8055</v>
      </c>
      <c r="T18" s="30" cm="1">
        <f t="array" ref="T18">INDEX($S$16:$W$16,1,T15-2014)</f>
        <v>10682</v>
      </c>
      <c r="U18" s="30" cm="1">
        <f t="array" ref="U18">INDEX($S$16:$W$16,1,U15-2014)</f>
        <v>9530</v>
      </c>
      <c r="V18" s="30" cm="1">
        <f t="array" ref="V18">INDEX($S$16:$W$16,1,V15-2014)</f>
        <v>8241</v>
      </c>
      <c r="W18" s="30" cm="1">
        <f t="array" ref="W18">INDEX($S$16:$W$16,1,W15-2014)</f>
        <v>12229</v>
      </c>
    </row>
    <row r="19" spans="4:23" ht="11.25" customHeight="1" x14ac:dyDescent="0.2">
      <c r="D19" s="43"/>
      <c r="G19" s="39"/>
      <c r="Q19" s="30" t="s">
        <v>1984</v>
      </c>
      <c r="R19" s="30" t="s">
        <v>152</v>
      </c>
      <c r="S19" s="39">
        <f>S18/S12</f>
        <v>0.59821760118826584</v>
      </c>
      <c r="T19" s="39">
        <f t="shared" ref="T19:W19" si="5">T18/T12</f>
        <v>0.7077453123964752</v>
      </c>
      <c r="U19" s="39">
        <f t="shared" si="5"/>
        <v>0.6241812942101127</v>
      </c>
      <c r="V19" s="39">
        <f t="shared" si="5"/>
        <v>0.66134339138110909</v>
      </c>
      <c r="W19" s="39">
        <f t="shared" si="5"/>
        <v>0.80512212785568504</v>
      </c>
    </row>
    <row r="20" spans="4:23" ht="11.25" customHeight="1" x14ac:dyDescent="0.2">
      <c r="D20" s="43"/>
      <c r="G20" s="39"/>
      <c r="Q20" s="30" t="s">
        <v>1985</v>
      </c>
      <c r="S20" s="64">
        <f>Deflator!U3</f>
        <v>1</v>
      </c>
      <c r="T20" s="64">
        <f>Deflator!V3</f>
        <v>1.0634057971014492</v>
      </c>
      <c r="U20" s="64">
        <f>Deflator!W3</f>
        <v>1.1194746376811595</v>
      </c>
      <c r="V20" s="64">
        <f>Deflator!X3</f>
        <v>1.1711956521739131</v>
      </c>
      <c r="W20" s="64">
        <f>Deflator!Y3</f>
        <v>1.2195652173913043</v>
      </c>
    </row>
    <row r="21" spans="4:23" ht="11.25" customHeight="1" x14ac:dyDescent="0.2">
      <c r="D21" s="43"/>
      <c r="G21" s="39"/>
      <c r="R21" s="30" t="s">
        <v>1895</v>
      </c>
      <c r="S21" s="39">
        <f>S19/S20</f>
        <v>0.59821760118826584</v>
      </c>
      <c r="T21" s="39">
        <f t="shared" ref="T21:W21" si="6">T19/T20</f>
        <v>0.66554584743246048</v>
      </c>
      <c r="U21" s="39">
        <f t="shared" si="6"/>
        <v>0.55756626653286223</v>
      </c>
      <c r="V21" s="39">
        <f t="shared" si="6"/>
        <v>0.56467370772215342</v>
      </c>
      <c r="W21" s="39">
        <f t="shared" si="6"/>
        <v>0.66017144173549935</v>
      </c>
    </row>
    <row r="22" spans="4:23" ht="11.25" customHeight="1" x14ac:dyDescent="0.2">
      <c r="D22" s="43"/>
      <c r="G22" s="39"/>
      <c r="R22" s="30" t="s">
        <v>475</v>
      </c>
      <c r="S22" s="49">
        <f>S21/3.6*1000</f>
        <v>166.1715558856294</v>
      </c>
      <c r="T22" s="49">
        <f t="shared" ref="T22:W22" si="7">T21/3.6*1000</f>
        <v>184.8738465090168</v>
      </c>
      <c r="U22" s="49">
        <f t="shared" si="7"/>
        <v>154.87951848135063</v>
      </c>
      <c r="V22" s="49">
        <f t="shared" si="7"/>
        <v>156.85380770059817</v>
      </c>
      <c r="W22" s="49">
        <f t="shared" si="7"/>
        <v>183.3809560376387</v>
      </c>
    </row>
    <row r="23" spans="4:23" ht="11.25" customHeight="1" x14ac:dyDescent="0.2">
      <c r="D23" s="43"/>
      <c r="G23" s="39"/>
      <c r="V23" s="30" t="s">
        <v>156</v>
      </c>
      <c r="W23" s="30">
        <f>W22*K9*W20</f>
        <v>12228.999999999998</v>
      </c>
    </row>
    <row r="24" spans="4:23" ht="11.25" customHeight="1" x14ac:dyDescent="0.2">
      <c r="D24" s="43"/>
      <c r="G24" s="39"/>
    </row>
    <row r="25" spans="4:23" ht="11.25" customHeight="1" x14ac:dyDescent="0.2">
      <c r="D25" s="43"/>
      <c r="G25" s="39"/>
    </row>
  </sheetData>
  <pageMargins left="0.75" right="0.75" top="1" bottom="1" header="0.5" footer="0.5"/>
  <pageSetup paperSize="9" orientation="landscape" horizontalDpi="12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EFF20-F5D4-4664-BF8D-1EE608849DB0}">
  <sheetPr codeName="Sheet34">
    <tabColor rgb="FF00B0F0"/>
  </sheetPr>
  <dimension ref="A1:N28"/>
  <sheetViews>
    <sheetView workbookViewId="0">
      <selection activeCell="G7" sqref="G7"/>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1.28515625" style="30" bestFit="1" customWidth="1"/>
    <col min="6" max="6" width="11.28515625" style="30" customWidth="1"/>
    <col min="7" max="7" width="10.5703125" style="30" customWidth="1"/>
    <col min="8" max="9" width="9.140625" style="30"/>
    <col min="10" max="10" width="6.85546875" style="30" customWidth="1"/>
    <col min="11" max="11" width="10.42578125" style="45" customWidth="1"/>
    <col min="12" max="12" width="10.5703125" style="45" customWidth="1"/>
    <col min="13" max="13" width="9.140625" style="30"/>
    <col min="14" max="14" width="9.140625" style="45"/>
    <col min="15" max="16384" width="9.140625" style="30"/>
  </cols>
  <sheetData>
    <row r="1" spans="1:14" ht="11.25" customHeight="1" x14ac:dyDescent="0.2">
      <c r="A1" s="47"/>
      <c r="B1" s="9"/>
      <c r="N1" s="45" t="s">
        <v>92</v>
      </c>
    </row>
    <row r="2" spans="1:14" ht="11.25" customHeight="1" x14ac:dyDescent="0.2">
      <c r="A2" s="45"/>
    </row>
    <row r="3" spans="1:14" ht="34.5" customHeight="1" x14ac:dyDescent="0.2">
      <c r="F3" s="59" t="s">
        <v>145</v>
      </c>
      <c r="G3" s="59" t="s">
        <v>394</v>
      </c>
      <c r="H3" s="59" t="s">
        <v>393</v>
      </c>
      <c r="I3" s="59" t="s">
        <v>392</v>
      </c>
      <c r="J3" s="30" t="s">
        <v>379</v>
      </c>
      <c r="K3" s="30" t="s">
        <v>391</v>
      </c>
      <c r="N3" s="30"/>
    </row>
    <row r="4" spans="1:14" ht="17.25" customHeight="1" x14ac:dyDescent="0.25">
      <c r="B4" s="495"/>
      <c r="C4" s="495"/>
      <c r="D4" s="495"/>
      <c r="E4" s="495" t="s">
        <v>2451</v>
      </c>
      <c r="F4" s="495"/>
      <c r="G4" s="495"/>
      <c r="H4" s="495"/>
      <c r="I4" s="495"/>
      <c r="J4" s="495"/>
      <c r="K4" s="495"/>
      <c r="L4" s="495"/>
      <c r="N4" s="46" t="s">
        <v>137</v>
      </c>
    </row>
    <row r="5" spans="1:14" ht="32.25" customHeight="1" x14ac:dyDescent="0.25">
      <c r="B5" s="495" t="s">
        <v>2411</v>
      </c>
      <c r="C5" s="495" t="s">
        <v>2412</v>
      </c>
      <c r="D5" s="495" t="s">
        <v>2421</v>
      </c>
      <c r="E5" s="495" t="s">
        <v>2422</v>
      </c>
      <c r="F5" s="498" t="s">
        <v>146</v>
      </c>
      <c r="G5" s="498" t="s">
        <v>117</v>
      </c>
      <c r="H5" s="498" t="s">
        <v>2448</v>
      </c>
      <c r="I5" s="498" t="s">
        <v>2448</v>
      </c>
      <c r="J5" s="498" t="s">
        <v>375</v>
      </c>
      <c r="K5" s="498" t="s">
        <v>2475</v>
      </c>
      <c r="L5" s="498" t="s">
        <v>2474</v>
      </c>
      <c r="M5" s="59"/>
      <c r="N5" s="59"/>
    </row>
    <row r="6" spans="1:14" ht="11.25" customHeight="1" x14ac:dyDescent="0.2">
      <c r="A6" s="33" t="s">
        <v>388</v>
      </c>
      <c r="E6" s="36"/>
      <c r="K6" s="333">
        <v>8.2037515451125517E-2</v>
      </c>
      <c r="L6" s="53">
        <v>0.25727313452786532</v>
      </c>
      <c r="N6" s="30"/>
    </row>
    <row r="7" spans="1:14" s="37" customFormat="1" ht="11.25" customHeight="1" x14ac:dyDescent="0.2">
      <c r="A7" s="30"/>
      <c r="B7" s="30" t="str">
        <f>Processes!B67</f>
        <v>MINCSARNOVRS</v>
      </c>
      <c r="C7" s="30" t="str">
        <f>Processes!C67</f>
        <v>Coal Supply for Arnot-various</v>
      </c>
      <c r="E7" s="30" t="str">
        <f t="shared" ref="E7:E27" si="0">"PWRCLE"&amp;MID(B7,6,4)</f>
        <v>PWRCLEARNO</v>
      </c>
      <c r="F7" s="39"/>
      <c r="G7" s="39">
        <f>EskomCoalPrice2019!R36</f>
        <v>29.862921090396167</v>
      </c>
      <c r="H7" s="30"/>
      <c r="I7" s="51" t="str">
        <f>IF(H7="","",EskomCoalPrice2019!P36)</f>
        <v/>
      </c>
      <c r="J7" s="51"/>
      <c r="K7" s="30">
        <f t="shared" ref="K7:L27" si="1">K$6/$N7</f>
        <v>3.9979296028813602E-3</v>
      </c>
      <c r="L7" s="30">
        <f t="shared" si="1"/>
        <v>1.2537677121241E-2</v>
      </c>
      <c r="N7" s="37">
        <f>EskomCoalPrice2019!N36</f>
        <v>20.52</v>
      </c>
    </row>
    <row r="8" spans="1:14" s="37" customFormat="1" ht="11.25" customHeight="1" x14ac:dyDescent="0.2">
      <c r="A8" s="30"/>
      <c r="B8" s="30" t="str">
        <f>Processes!B68</f>
        <v>MINCSCAMDVRS</v>
      </c>
      <c r="C8" s="30" t="str">
        <f>Processes!C68</f>
        <v>Coal Supply for Camden-various</v>
      </c>
      <c r="D8" s="30"/>
      <c r="E8" s="30" t="str">
        <f t="shared" si="0"/>
        <v>PWRCLECAMD</v>
      </c>
      <c r="F8" s="30"/>
      <c r="G8" s="39">
        <f>EskomCoalPrice2019!R37</f>
        <v>37.20717754320836</v>
      </c>
      <c r="H8" s="30"/>
      <c r="I8" s="51" t="str">
        <f>IF(H8="","",EskomCoalPrice2019!P37)</f>
        <v/>
      </c>
      <c r="J8" s="51"/>
      <c r="K8" s="30">
        <f t="shared" si="1"/>
        <v>4.3987943941622264E-3</v>
      </c>
      <c r="L8" s="30">
        <f t="shared" si="1"/>
        <v>1.3794806140904307E-2</v>
      </c>
      <c r="N8" s="37">
        <f>EskomCoalPrice2019!N37</f>
        <v>18.649999999999999</v>
      </c>
    </row>
    <row r="9" spans="1:14" s="37" customFormat="1" ht="11.25" customHeight="1" x14ac:dyDescent="0.2">
      <c r="A9" s="30"/>
      <c r="B9" s="30" t="str">
        <f>Processes!B69</f>
        <v>MINCSDUVHSER</v>
      </c>
      <c r="C9" s="30" t="str">
        <f>Processes!C69</f>
        <v>Coal Supply for Duvha-Seriti</v>
      </c>
      <c r="D9" s="30"/>
      <c r="E9" s="30" t="str">
        <f t="shared" si="0"/>
        <v>PWRCLEDUVH</v>
      </c>
      <c r="F9" s="30"/>
      <c r="G9" s="392">
        <v>21.015399422521657</v>
      </c>
      <c r="H9" s="30"/>
      <c r="I9" s="51" t="str">
        <f>IF(H9="","",EskomCoalPrice2019!P38)</f>
        <v/>
      </c>
      <c r="J9" s="51"/>
      <c r="K9" s="30">
        <f t="shared" si="1"/>
        <v>3.9479073845584941E-3</v>
      </c>
      <c r="L9" s="30">
        <f t="shared" si="1"/>
        <v>1.2380805318954058E-2</v>
      </c>
      <c r="N9" s="37">
        <f>EskomCoalPrice2019!N38</f>
        <v>20.78</v>
      </c>
    </row>
    <row r="10" spans="1:14" ht="11.25" customHeight="1" x14ac:dyDescent="0.2">
      <c r="B10" s="30" t="str">
        <f>Processes!B70</f>
        <v>MINCSDUVHVRS</v>
      </c>
      <c r="C10" s="30" t="str">
        <f>Processes!C70</f>
        <v>Coal Supply for Duvha-various</v>
      </c>
      <c r="E10" s="30" t="str">
        <f t="shared" si="0"/>
        <v>PWRCLEDUVH</v>
      </c>
      <c r="G10" s="39">
        <f>EskomCoalPrice2019!R39</f>
        <v>20.797983372192171</v>
      </c>
      <c r="H10" s="30">
        <v>3</v>
      </c>
      <c r="I10" s="51">
        <f>IF(H10="","",EskomCoalPrice2019!P39)</f>
        <v>2.1611199999999999</v>
      </c>
      <c r="J10" s="51"/>
      <c r="K10" s="30">
        <f t="shared" si="1"/>
        <v>3.9479073845584941E-3</v>
      </c>
      <c r="L10" s="30">
        <f t="shared" si="1"/>
        <v>1.2380805318954058E-2</v>
      </c>
      <c r="N10" s="37">
        <f>EskomCoalPrice2019!N39</f>
        <v>20.78</v>
      </c>
    </row>
    <row r="11" spans="1:14" ht="11.25" customHeight="1" x14ac:dyDescent="0.2">
      <c r="B11" s="30" t="str">
        <f>Processes!B71</f>
        <v>MINCSGROOVRS</v>
      </c>
      <c r="C11" s="30" t="str">
        <f>Processes!C71</f>
        <v>Coal Supply for Grootvlei-various</v>
      </c>
      <c r="E11" s="30" t="str">
        <f t="shared" si="0"/>
        <v>PWRCLEGROO</v>
      </c>
      <c r="G11" s="39">
        <f>EskomCoalPrice2019!R40</f>
        <v>34.30547242034595</v>
      </c>
      <c r="I11" s="51"/>
      <c r="J11" s="51"/>
      <c r="K11" s="30">
        <f t="shared" si="1"/>
        <v>3.9862738314443893E-3</v>
      </c>
      <c r="L11" s="30">
        <f t="shared" si="1"/>
        <v>1.2501124126718433E-2</v>
      </c>
      <c r="N11" s="37">
        <f>EskomCoalPrice2019!N40</f>
        <v>20.58</v>
      </c>
    </row>
    <row r="12" spans="1:14" ht="11.25" customHeight="1" x14ac:dyDescent="0.2">
      <c r="B12" s="30" t="str">
        <f>Processes!B72</f>
        <v>MINCSHENDVRS</v>
      </c>
      <c r="C12" s="30" t="str">
        <f>Processes!C72</f>
        <v>Coal Supply for Hendrina-various</v>
      </c>
      <c r="E12" s="30" t="str">
        <f t="shared" si="0"/>
        <v>PWRCLEHEND</v>
      </c>
      <c r="G12" s="39">
        <f>EskomCoalPrice2019!R41</f>
        <v>33.069486115858489</v>
      </c>
      <c r="I12" s="51" t="str">
        <f>IF(H12="","",EskomCoalPrice2019!P41)</f>
        <v/>
      </c>
      <c r="J12" s="51"/>
      <c r="K12" s="30">
        <f t="shared" si="1"/>
        <v>3.9746858261204224E-3</v>
      </c>
      <c r="L12" s="30">
        <f t="shared" si="1"/>
        <v>1.2464783649605878E-2</v>
      </c>
      <c r="N12" s="37">
        <f>EskomCoalPrice2019!N41</f>
        <v>20.64</v>
      </c>
    </row>
    <row r="13" spans="1:14" ht="11.25" customHeight="1" x14ac:dyDescent="0.2">
      <c r="B13" s="30" t="str">
        <f>Processes!B73</f>
        <v>MINCSKENDS32</v>
      </c>
      <c r="C13" s="30" t="str">
        <f>Processes!C73</f>
        <v>Coal Supply for Kendal-South 32</v>
      </c>
      <c r="E13" s="30" t="str">
        <f t="shared" si="0"/>
        <v>PWRCLEKEND</v>
      </c>
      <c r="G13" s="39">
        <f>EskomCoalPrice2019!R42</f>
        <v>17.560728744939269</v>
      </c>
      <c r="I13" s="51" t="str">
        <f>IF(H13="","",EskomCoalPrice2019!P42)</f>
        <v/>
      </c>
      <c r="J13" s="51"/>
      <c r="K13" s="30">
        <f t="shared" si="1"/>
        <v>4.4392594941085233E-3</v>
      </c>
      <c r="L13" s="30">
        <f t="shared" si="1"/>
        <v>1.3921706413845526E-2</v>
      </c>
      <c r="N13" s="37">
        <f>EskomCoalPrice2019!N42</f>
        <v>18.48</v>
      </c>
    </row>
    <row r="14" spans="1:14" ht="11.25" customHeight="1" x14ac:dyDescent="0.2">
      <c r="B14" s="30" t="str">
        <f>Processes!B74</f>
        <v>MINCSKENDVRS</v>
      </c>
      <c r="C14" s="30" t="str">
        <f>Processes!C74</f>
        <v>Coal Supply for Kendal-various</v>
      </c>
      <c r="E14" s="30" t="str">
        <f t="shared" si="0"/>
        <v>PWRCLEKEND</v>
      </c>
      <c r="G14" s="39">
        <f>EskomCoalPrice2019!R43</f>
        <v>26.739802870292589</v>
      </c>
      <c r="H14" s="30">
        <v>3</v>
      </c>
      <c r="I14" s="51">
        <f>IF(H14="","",EskomCoalPrice2019!P43)</f>
        <v>73.790639999999996</v>
      </c>
      <c r="J14" s="51"/>
      <c r="K14" s="30">
        <f t="shared" si="1"/>
        <v>4.4392594941085233E-3</v>
      </c>
      <c r="L14" s="30">
        <f t="shared" si="1"/>
        <v>1.3921706413845526E-2</v>
      </c>
      <c r="N14" s="37">
        <f>EskomCoalPrice2019!N43</f>
        <v>18.48</v>
      </c>
    </row>
    <row r="15" spans="1:14" ht="11.25" customHeight="1" x14ac:dyDescent="0.2">
      <c r="B15" s="30" t="str">
        <f>Processes!B75</f>
        <v>MINCSKOMAVRS</v>
      </c>
      <c r="C15" s="30" t="str">
        <f>Processes!C75</f>
        <v>Coal Supply for Komati-various</v>
      </c>
      <c r="E15" s="30" t="str">
        <f t="shared" si="0"/>
        <v>PWRCLEKOMA</v>
      </c>
      <c r="G15" s="39">
        <f>EskomCoalPrice2019!R44</f>
        <v>39.971453415068908</v>
      </c>
      <c r="I15" s="51" t="str">
        <f>IF(H15="","",EskomCoalPrice2019!P44)</f>
        <v/>
      </c>
      <c r="J15" s="51"/>
      <c r="K15" s="30">
        <f t="shared" si="1"/>
        <v>4.1685729395897113E-3</v>
      </c>
      <c r="L15" s="30">
        <f t="shared" si="1"/>
        <v>1.3072821876415921E-2</v>
      </c>
      <c r="N15" s="37">
        <f>EskomCoalPrice2019!N44</f>
        <v>19.68</v>
      </c>
    </row>
    <row r="16" spans="1:14" ht="11.25" customHeight="1" x14ac:dyDescent="0.2">
      <c r="B16" s="30" t="str">
        <f>Processes!B76</f>
        <v>MINCSKRIESER</v>
      </c>
      <c r="C16" s="30" t="str">
        <f>Processes!C76</f>
        <v xml:space="preserve">Coal Supply for Kriel-Seriti </v>
      </c>
      <c r="E16" s="30" t="str">
        <f t="shared" si="0"/>
        <v>PWRCLEKRIE</v>
      </c>
      <c r="G16" s="39">
        <f>EskomCoalPrice2019!R45</f>
        <v>35.621146574458557</v>
      </c>
      <c r="H16" s="30">
        <v>3</v>
      </c>
      <c r="I16" s="51">
        <f>IF(H16="","",EskomCoalPrice2019!P45)</f>
        <v>95.758620000000008</v>
      </c>
      <c r="J16" s="51"/>
      <c r="K16" s="30">
        <f t="shared" si="1"/>
        <v>3.9177419031101012E-3</v>
      </c>
      <c r="L16" s="30">
        <f t="shared" si="1"/>
        <v>1.2286205087290607E-2</v>
      </c>
      <c r="N16" s="37">
        <f>EskomCoalPrice2019!N45</f>
        <v>20.94</v>
      </c>
    </row>
    <row r="17" spans="1:14" ht="11.25" customHeight="1" x14ac:dyDescent="0.2">
      <c r="B17" s="30" t="str">
        <f>Processes!B77</f>
        <v>MINCSKRIEVRS</v>
      </c>
      <c r="C17" s="30" t="str">
        <f>Processes!C77</f>
        <v>Coal Supply for Kriel-various</v>
      </c>
      <c r="E17" s="30" t="str">
        <f t="shared" si="0"/>
        <v>PWRCLEKRIE</v>
      </c>
      <c r="G17" s="39">
        <f>EskomCoalPrice2019!R46</f>
        <v>28.158828189001778</v>
      </c>
      <c r="I17" s="51" t="str">
        <f>IF(H17="","",EskomCoalPrice2019!P46)</f>
        <v/>
      </c>
      <c r="J17" s="51"/>
      <c r="K17" s="30">
        <f t="shared" si="1"/>
        <v>3.9177419031101012E-3</v>
      </c>
      <c r="L17" s="30">
        <f t="shared" si="1"/>
        <v>1.2286205087290607E-2</v>
      </c>
      <c r="N17" s="37">
        <f>EskomCoalPrice2019!N46</f>
        <v>20.94</v>
      </c>
    </row>
    <row r="18" spans="1:14" ht="11.25" customHeight="1" x14ac:dyDescent="0.2">
      <c r="B18" s="30" t="str">
        <f>Processes!B78</f>
        <v>MINCSKUSINLG</v>
      </c>
      <c r="C18" s="30" t="str">
        <f>Processes!C78</f>
        <v>Coal Supply for Kusile-New Largo</v>
      </c>
      <c r="E18" s="30" t="str">
        <f t="shared" si="0"/>
        <v>PWRCLEKUSI</v>
      </c>
      <c r="G18" s="39">
        <f>EskomCoalPrice2019!R47</f>
        <v>22.566299999999998</v>
      </c>
      <c r="H18" s="30">
        <v>3</v>
      </c>
      <c r="I18" s="51">
        <f>IF(H18="","",EskomCoalPrice2019!P47)</f>
        <v>156</v>
      </c>
      <c r="J18" s="61">
        <v>2022</v>
      </c>
      <c r="K18" s="30">
        <f t="shared" si="1"/>
        <v>4.2070520744166935E-3</v>
      </c>
      <c r="L18" s="30">
        <f t="shared" si="1"/>
        <v>1.3193494078352068E-2</v>
      </c>
      <c r="N18" s="37">
        <f>EskomCoalPrice2019!N47</f>
        <v>19.5</v>
      </c>
    </row>
    <row r="19" spans="1:14" ht="11.25" customHeight="1" x14ac:dyDescent="0.2">
      <c r="B19" s="30" t="str">
        <f>Processes!B79</f>
        <v>MINCSKUSIVRS</v>
      </c>
      <c r="C19" s="30" t="str">
        <f>Processes!C79</f>
        <v>Coal Supply for Kusile-various</v>
      </c>
      <c r="E19" s="30" t="str">
        <f t="shared" si="0"/>
        <v>PWRCLEKUSI</v>
      </c>
      <c r="G19" s="39">
        <f>EskomCoalPrice2019!R48</f>
        <v>36.337166171160575</v>
      </c>
      <c r="I19" s="51" t="str">
        <f>IF(H19="","",EskomCoalPrice2019!P48)</f>
        <v/>
      </c>
      <c r="J19" s="51"/>
      <c r="K19" s="30">
        <f t="shared" si="1"/>
        <v>4.6798354507202235E-3</v>
      </c>
      <c r="L19" s="30">
        <f t="shared" si="1"/>
        <v>1.4676162836729338E-2</v>
      </c>
      <c r="N19" s="37">
        <f>EskomCoalPrice2019!N48</f>
        <v>17.53</v>
      </c>
    </row>
    <row r="20" spans="1:14" ht="11.25" customHeight="1" x14ac:dyDescent="0.2">
      <c r="B20" s="30" t="str">
        <f>Processes!B80</f>
        <v>MINCSLETHSER</v>
      </c>
      <c r="C20" s="30" t="str">
        <f>Processes!C80</f>
        <v>Coal Supply for Lethabo-Seriti</v>
      </c>
      <c r="E20" s="30" t="str">
        <f t="shared" si="0"/>
        <v>PWRCLELETH</v>
      </c>
      <c r="G20" s="39">
        <f>EskomCoalPrice2019!R49</f>
        <v>16.619293006458783</v>
      </c>
      <c r="I20" s="51" t="str">
        <f>IF(H20="","",EskomCoalPrice2019!P49)</f>
        <v/>
      </c>
      <c r="J20" s="51"/>
      <c r="K20" s="30">
        <f t="shared" si="1"/>
        <v>5.3271113929302281E-3</v>
      </c>
      <c r="L20" s="30">
        <f t="shared" si="1"/>
        <v>1.6706047696614632E-2</v>
      </c>
      <c r="N20" s="37">
        <f>EskomCoalPrice2019!N49</f>
        <v>15.4</v>
      </c>
    </row>
    <row r="21" spans="1:14" ht="11.25" customHeight="1" x14ac:dyDescent="0.2">
      <c r="B21" s="30" t="str">
        <f>Processes!B81</f>
        <v>MINCSMAJUVRS</v>
      </c>
      <c r="C21" s="30" t="str">
        <f>Processes!C81</f>
        <v>Coal Supply for Majuba-various</v>
      </c>
      <c r="E21" s="30" t="str">
        <f t="shared" si="0"/>
        <v>PWRCLEMAJU</v>
      </c>
      <c r="G21" s="39">
        <f>EskomCoalPrice2019!R50</f>
        <v>26.648823894447183</v>
      </c>
      <c r="I21" s="51" t="str">
        <f>IF(H21="","",EskomCoalPrice2019!P50)</f>
        <v/>
      </c>
      <c r="J21" s="51"/>
      <c r="K21" s="30">
        <f t="shared" si="1"/>
        <v>4.4058816031753763E-3</v>
      </c>
      <c r="L21" s="30">
        <f t="shared" si="1"/>
        <v>1.3817031929530897E-2</v>
      </c>
      <c r="N21" s="37">
        <f>EskomCoalPrice2019!N50</f>
        <v>18.62</v>
      </c>
    </row>
    <row r="22" spans="1:14" ht="11.25" customHeight="1" x14ac:dyDescent="0.2">
      <c r="B22" s="30" t="str">
        <f>Processes!B82</f>
        <v>MINCSMATIEXX</v>
      </c>
      <c r="C22" s="30" t="str">
        <f>Processes!C82</f>
        <v xml:space="preserve">Coal Supply for Matimba-Exxaro </v>
      </c>
      <c r="E22" s="30" t="str">
        <f t="shared" si="0"/>
        <v>PWRCLEMATI</v>
      </c>
      <c r="G22" s="39">
        <f>EskomCoalPrice2019!R51</f>
        <v>20.138422614482458</v>
      </c>
      <c r="I22" s="51" t="str">
        <f>IF(H22="","",EskomCoalPrice2019!P51)</f>
        <v/>
      </c>
      <c r="J22" s="51"/>
      <c r="K22" s="30">
        <f t="shared" si="1"/>
        <v>4.3893801739500003E-3</v>
      </c>
      <c r="L22" s="30">
        <f t="shared" si="1"/>
        <v>1.3765282746274227E-2</v>
      </c>
      <c r="N22" s="37">
        <f>EskomCoalPrice2019!N51</f>
        <v>18.690000000000001</v>
      </c>
    </row>
    <row r="23" spans="1:14" ht="11.25" customHeight="1" x14ac:dyDescent="0.2">
      <c r="B23" s="30" t="str">
        <f>Processes!B83</f>
        <v>MINCSMATLEXX</v>
      </c>
      <c r="C23" s="30" t="str">
        <f>Processes!C83</f>
        <v>Coal Supply for Matla-Exxaro</v>
      </c>
      <c r="E23" s="30" t="str">
        <f t="shared" si="0"/>
        <v>PWRCLEMATL</v>
      </c>
      <c r="G23" s="39">
        <f>EskomCoalPrice2019!R52</f>
        <v>36.838295356690701</v>
      </c>
      <c r="I23" s="51" t="str">
        <f>IF(H23="","",EskomCoalPrice2019!P52)</f>
        <v/>
      </c>
      <c r="J23" s="51"/>
      <c r="K23" s="30">
        <f t="shared" si="1"/>
        <v>4.1412173372602484E-3</v>
      </c>
      <c r="L23" s="30">
        <f t="shared" si="1"/>
        <v>1.2987033545071445E-2</v>
      </c>
      <c r="N23" s="37">
        <f>EskomCoalPrice2019!N52</f>
        <v>19.809999999999999</v>
      </c>
    </row>
    <row r="24" spans="1:14" ht="11.25" customHeight="1" x14ac:dyDescent="0.2">
      <c r="B24" s="30" t="str">
        <f>Processes!B84</f>
        <v>MINCSMATLVRS</v>
      </c>
      <c r="C24" s="30" t="str">
        <f>Processes!C84</f>
        <v>Coal Supply for Matla-various</v>
      </c>
      <c r="E24" s="30" t="str">
        <f t="shared" si="0"/>
        <v>PWRCLEMATL</v>
      </c>
      <c r="G24" s="39">
        <f>EskomCoalPrice2019!R53</f>
        <v>31.532080286980936</v>
      </c>
      <c r="H24" s="30">
        <v>3</v>
      </c>
      <c r="I24" s="51">
        <f>IF(H24="","",EskomCoalPrice2019!P53)</f>
        <v>70.087779999999995</v>
      </c>
      <c r="J24" s="51"/>
      <c r="K24" s="30">
        <f t="shared" si="1"/>
        <v>4.1412173372602484E-3</v>
      </c>
      <c r="L24" s="30">
        <f t="shared" si="1"/>
        <v>1.2987033545071445E-2</v>
      </c>
      <c r="N24" s="37">
        <f>EskomCoalPrice2019!N53</f>
        <v>19.809999999999999</v>
      </c>
    </row>
    <row r="25" spans="1:14" ht="11.25" customHeight="1" x14ac:dyDescent="0.2">
      <c r="B25" s="30" t="str">
        <f>Processes!B85</f>
        <v>MINCSMEDUEXX</v>
      </c>
      <c r="C25" s="30" t="str">
        <f>Processes!C85</f>
        <v>Coal Supply for Medupi-Exxaro</v>
      </c>
      <c r="E25" s="30" t="str">
        <f t="shared" si="0"/>
        <v>PWRCLEMEDU</v>
      </c>
      <c r="G25" s="39">
        <f>EskomCoalPrice2019!R54</f>
        <v>24.651707597622952</v>
      </c>
      <c r="I25" s="51" t="str">
        <f>IF(H25="","",EskomCoalPrice2019!P54)</f>
        <v/>
      </c>
      <c r="J25" s="51"/>
      <c r="K25" s="30">
        <f t="shared" si="1"/>
        <v>4.3893801739500003E-3</v>
      </c>
      <c r="L25" s="30">
        <f t="shared" si="1"/>
        <v>1.3765282746274227E-2</v>
      </c>
      <c r="N25" s="37">
        <f>EskomCoalPrice2019!N54</f>
        <v>18.690000000000001</v>
      </c>
    </row>
    <row r="26" spans="1:14" ht="11.25" customHeight="1" x14ac:dyDescent="0.2">
      <c r="B26" s="30" t="str">
        <f>Processes!B86</f>
        <v>MINCSTUTUSER</v>
      </c>
      <c r="C26" s="30" t="str">
        <f>Processes!C86</f>
        <v>Coal Supply for Tutuka-Seriti</v>
      </c>
      <c r="E26" s="30" t="str">
        <f t="shared" si="0"/>
        <v>PWRCLETUTU</v>
      </c>
      <c r="G26" s="39">
        <f>EskomCoalPrice2019!R55</f>
        <v>40.109674282936311</v>
      </c>
      <c r="I26" s="51" t="str">
        <f>IF(H26="","",EskomCoalPrice2019!P55)</f>
        <v/>
      </c>
      <c r="J26" s="51"/>
      <c r="K26" s="30">
        <f t="shared" si="1"/>
        <v>4.0313275405958479E-3</v>
      </c>
      <c r="L26" s="30">
        <f t="shared" si="1"/>
        <v>1.2642414473113775E-2</v>
      </c>
      <c r="N26" s="37">
        <f>EskomCoalPrice2019!N55</f>
        <v>20.350000000000001</v>
      </c>
    </row>
    <row r="27" spans="1:14" ht="11.25" customHeight="1" x14ac:dyDescent="0.2">
      <c r="B27" s="30" t="str">
        <f>Processes!B87</f>
        <v>MINCSTUTUVRS</v>
      </c>
      <c r="C27" s="30" t="str">
        <f>Processes!C87</f>
        <v>Coal Supply for Tutuka-various</v>
      </c>
      <c r="E27" s="30" t="str">
        <f t="shared" si="0"/>
        <v>PWRCLETUTU</v>
      </c>
      <c r="G27" s="39">
        <f>EskomCoalPrice2019!R56</f>
        <v>35.32393812226266</v>
      </c>
      <c r="H27" s="30">
        <v>3</v>
      </c>
      <c r="I27" s="51">
        <f>IF(H27="","",EskomCoalPrice2019!P56)</f>
        <v>110.23595000000002</v>
      </c>
      <c r="J27" s="51"/>
      <c r="K27" s="30">
        <f t="shared" si="1"/>
        <v>4.0313275405958479E-3</v>
      </c>
      <c r="L27" s="30">
        <f t="shared" si="1"/>
        <v>1.2642414473113775E-2</v>
      </c>
      <c r="N27" s="37">
        <f>EskomCoalPrice2019!N56</f>
        <v>20.350000000000001</v>
      </c>
    </row>
    <row r="28" spans="1:14" ht="11.25" customHeight="1" x14ac:dyDescent="0.2">
      <c r="A28" s="33"/>
      <c r="B28" s="30" t="str">
        <f>Processes!B118</f>
        <v>MINPWRWAT</v>
      </c>
      <c r="C28" s="30" t="str">
        <f>Processes!C118</f>
        <v>Water Supply for Power Sector</v>
      </c>
      <c r="E28" s="30" t="s">
        <v>1993</v>
      </c>
      <c r="G28" s="30">
        <v>0.01</v>
      </c>
    </row>
  </sheetData>
  <pageMargins left="0.75" right="0.75" top="1" bottom="1" header="0.5" footer="0.5"/>
  <pageSetup paperSize="9" orientation="landscape" horizontalDpi="1200" verticalDpi="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959D-CCDF-4D15-8159-40DF962FA611}">
  <sheetPr codeName="Sheet17">
    <tabColor theme="4"/>
  </sheetPr>
  <dimension ref="A1:AD52"/>
  <sheetViews>
    <sheetView tabSelected="1" zoomScale="110" zoomScaleNormal="110" workbookViewId="0">
      <selection activeCell="M26" sqref="M26"/>
    </sheetView>
  </sheetViews>
  <sheetFormatPr defaultColWidth="8.85546875" defaultRowHeight="11.25" x14ac:dyDescent="0.2"/>
  <cols>
    <col min="1" max="1" width="14.85546875" style="30" customWidth="1"/>
    <col min="2" max="2" width="11.7109375" style="30" customWidth="1"/>
    <col min="3" max="3" width="21.140625" style="30" customWidth="1"/>
    <col min="4" max="4" width="8.7109375" style="30" customWidth="1"/>
    <col min="5" max="15" width="8.85546875" style="30"/>
    <col min="16" max="16" width="13.85546875" style="30" customWidth="1"/>
    <col min="17" max="17" width="8.85546875" style="30"/>
    <col min="18" max="18" width="10.42578125" style="30" bestFit="1" customWidth="1"/>
    <col min="19" max="19" width="11.140625" style="30" customWidth="1"/>
    <col min="20" max="20" width="8.85546875" style="30"/>
    <col min="21" max="21" width="10.42578125" style="30" bestFit="1" customWidth="1"/>
    <col min="22" max="22" width="11.140625" style="30" customWidth="1"/>
    <col min="23" max="23" width="11.42578125" style="30" customWidth="1"/>
    <col min="24" max="16384" width="8.85546875" style="30"/>
  </cols>
  <sheetData>
    <row r="1" spans="1:30" x14ac:dyDescent="0.2">
      <c r="A1" s="47"/>
      <c r="B1" s="9"/>
      <c r="I1" s="30" t="s">
        <v>92</v>
      </c>
      <c r="K1" s="30" t="s">
        <v>92</v>
      </c>
      <c r="L1" s="30" t="s">
        <v>92</v>
      </c>
      <c r="O1" s="30" t="s">
        <v>92</v>
      </c>
      <c r="P1" s="30" t="s">
        <v>92</v>
      </c>
      <c r="Q1" s="30" t="s">
        <v>92</v>
      </c>
      <c r="R1" s="30" t="s">
        <v>92</v>
      </c>
      <c r="S1" s="30" t="s">
        <v>92</v>
      </c>
      <c r="T1" s="30" t="s">
        <v>92</v>
      </c>
      <c r="U1" s="30" t="s">
        <v>92</v>
      </c>
      <c r="V1" s="30" t="s">
        <v>92</v>
      </c>
      <c r="W1" s="30" t="s">
        <v>92</v>
      </c>
      <c r="X1" s="30" t="s">
        <v>92</v>
      </c>
      <c r="Y1" s="30" t="s">
        <v>92</v>
      </c>
      <c r="Z1" s="30" t="s">
        <v>92</v>
      </c>
      <c r="AA1" s="30" t="s">
        <v>92</v>
      </c>
      <c r="AB1" s="30" t="s">
        <v>92</v>
      </c>
      <c r="AC1" s="30" t="s">
        <v>92</v>
      </c>
      <c r="AD1" s="30" t="s">
        <v>92</v>
      </c>
    </row>
    <row r="2" spans="1:30" ht="12.75" x14ac:dyDescent="0.2">
      <c r="A2" s="45"/>
    </row>
    <row r="3" spans="1:30" ht="15" customHeight="1" x14ac:dyDescent="0.2">
      <c r="H3" s="30" t="s">
        <v>2040</v>
      </c>
      <c r="O3" s="47" t="s">
        <v>356</v>
      </c>
      <c r="R3" s="60">
        <v>1000</v>
      </c>
    </row>
    <row r="4" spans="1:30" ht="20.25" customHeight="1" x14ac:dyDescent="0.25">
      <c r="E4" s="46" t="s">
        <v>396</v>
      </c>
      <c r="F4" s="46" t="s">
        <v>396</v>
      </c>
      <c r="G4" s="46" t="s">
        <v>1758</v>
      </c>
      <c r="H4" s="30" t="s">
        <v>1988</v>
      </c>
      <c r="I4" s="30" t="s">
        <v>1988</v>
      </c>
      <c r="J4" s="30" t="s">
        <v>1988</v>
      </c>
      <c r="K4" s="30" t="s">
        <v>1988</v>
      </c>
      <c r="L4" s="30" t="s">
        <v>1988</v>
      </c>
      <c r="O4" s="30" t="s">
        <v>1992</v>
      </c>
      <c r="Q4" s="44">
        <v>1</v>
      </c>
    </row>
    <row r="5" spans="1:30" ht="19.5" customHeight="1" x14ac:dyDescent="0.2">
      <c r="E5" s="56"/>
      <c r="H5" s="30" t="s">
        <v>119</v>
      </c>
      <c r="I5" s="30" t="s">
        <v>119</v>
      </c>
      <c r="J5" s="30" t="s">
        <v>119</v>
      </c>
      <c r="K5" s="30" t="s">
        <v>119</v>
      </c>
      <c r="L5" s="30" t="s">
        <v>119</v>
      </c>
      <c r="Q5" s="30">
        <v>2015</v>
      </c>
      <c r="R5" s="30">
        <f>H7</f>
        <v>2017</v>
      </c>
      <c r="S5" s="30">
        <f>I7</f>
        <v>2020</v>
      </c>
      <c r="T5" s="30">
        <f>J7</f>
        <v>2030</v>
      </c>
      <c r="U5" s="30">
        <f>K7</f>
        <v>2040</v>
      </c>
      <c r="V5" s="30">
        <f>L7</f>
        <v>2050</v>
      </c>
    </row>
    <row r="6" spans="1:30" ht="19.5" customHeight="1" x14ac:dyDescent="0.25">
      <c r="O6" s="30" t="s">
        <v>1991</v>
      </c>
      <c r="T6" s="345">
        <v>0.04</v>
      </c>
      <c r="U6" s="344">
        <v>3.5000000000000003E-2</v>
      </c>
      <c r="V6" s="345">
        <v>0.03</v>
      </c>
    </row>
    <row r="7" spans="1:30" x14ac:dyDescent="0.2">
      <c r="B7" s="47" t="s">
        <v>40</v>
      </c>
      <c r="C7" s="47" t="s">
        <v>41</v>
      </c>
      <c r="D7" s="47" t="s">
        <v>43</v>
      </c>
      <c r="E7" s="56">
        <v>2024</v>
      </c>
      <c r="F7" s="30">
        <v>2025</v>
      </c>
      <c r="G7" s="46" t="s">
        <v>44</v>
      </c>
      <c r="H7" s="30">
        <v>2017</v>
      </c>
      <c r="I7" s="30">
        <v>2020</v>
      </c>
      <c r="J7" s="30">
        <v>2030</v>
      </c>
      <c r="K7" s="30">
        <v>2040</v>
      </c>
      <c r="L7" s="30">
        <v>2050</v>
      </c>
      <c r="O7" s="30" t="s">
        <v>1985</v>
      </c>
      <c r="Q7" s="30">
        <v>1</v>
      </c>
      <c r="R7" s="64">
        <f>Deflator!W3</f>
        <v>1.1194746376811595</v>
      </c>
      <c r="S7" s="39">
        <f>Deflator!Z3</f>
        <v>1.2594458438287153</v>
      </c>
      <c r="T7" s="41">
        <f>S7*(1+T6)^(T5-S5)</f>
        <v>1.8642875124916178</v>
      </c>
      <c r="U7" s="41">
        <f>T7*(1+U6)^(U5-T5)</f>
        <v>2.6297616545621088</v>
      </c>
      <c r="V7" s="41">
        <f>U7*(1+V6)^(V5-U5)</f>
        <v>3.5341797613371164</v>
      </c>
    </row>
    <row r="8" spans="1:30" x14ac:dyDescent="0.2">
      <c r="A8" s="30" t="str">
        <f>IF(Index!$C$16=1,"*","")</f>
        <v/>
      </c>
      <c r="B8" s="30" t="s">
        <v>129</v>
      </c>
      <c r="C8" s="30" t="s">
        <v>395</v>
      </c>
      <c r="D8" s="30" t="s">
        <v>114</v>
      </c>
      <c r="E8" s="38">
        <v>0</v>
      </c>
      <c r="F8" s="30">
        <v>0.15</v>
      </c>
      <c r="G8" s="30">
        <v>1</v>
      </c>
      <c r="O8" s="30" t="s">
        <v>1989</v>
      </c>
      <c r="P8" s="30" t="s">
        <v>1990</v>
      </c>
      <c r="Q8" s="30">
        <v>3.5</v>
      </c>
      <c r="R8" s="41">
        <f>Q8/R7</f>
        <v>3.1264665426005336</v>
      </c>
      <c r="S8" s="30">
        <f>Q8/S7</f>
        <v>2.7790000000000004</v>
      </c>
      <c r="T8" s="41">
        <f>IF($Q$4=1,$Q8/T7,S8)</f>
        <v>1.8773928251668943</v>
      </c>
      <c r="U8" s="41">
        <f>IF($Q$4=1,$Q8/U7,T8)</f>
        <v>1.3309190944845524</v>
      </c>
      <c r="V8" s="41">
        <f>IF($Q$4=1,$Q8/V7,U8)</f>
        <v>0.99032879942581498</v>
      </c>
    </row>
    <row r="9" spans="1:30" x14ac:dyDescent="0.2">
      <c r="A9" s="30" t="str">
        <f>IF(Index!$C$16=1,"*","")</f>
        <v/>
      </c>
      <c r="B9" s="30" t="str">
        <f>Commodities!B64</f>
        <v>PWRENV</v>
      </c>
      <c r="C9" s="30" t="str">
        <f>Commodities!C64</f>
        <v>For tracking environmental Levy</v>
      </c>
      <c r="D9" s="30" t="str">
        <f>Commodities!D64</f>
        <v>KT</v>
      </c>
      <c r="H9" s="41">
        <f>R9</f>
        <v>4.3958119588963507E-2</v>
      </c>
      <c r="I9" s="41">
        <f>S9</f>
        <v>3.9072740000000002E-2</v>
      </c>
      <c r="J9" s="41">
        <f>T9</f>
        <v>2.6396143121846533E-2</v>
      </c>
      <c r="K9" s="41">
        <f>U9</f>
        <v>1.8712722468452805E-2</v>
      </c>
      <c r="L9" s="41">
        <f>V9</f>
        <v>1.3924022919926959E-2</v>
      </c>
      <c r="P9" s="30" t="s">
        <v>2550</v>
      </c>
      <c r="Q9" s="41">
        <f>Q8/100*1.406</f>
        <v>4.9210000000000004E-2</v>
      </c>
      <c r="R9" s="41">
        <f t="shared" ref="R9:V9" si="0">R8/100*1.406</f>
        <v>4.3958119588963507E-2</v>
      </c>
      <c r="S9" s="41">
        <f t="shared" si="0"/>
        <v>3.9072740000000002E-2</v>
      </c>
      <c r="T9" s="41">
        <f t="shared" si="0"/>
        <v>2.6396143121846533E-2</v>
      </c>
      <c r="U9" s="41">
        <f t="shared" si="0"/>
        <v>1.8712722468452805E-2</v>
      </c>
      <c r="V9" s="41">
        <f t="shared" si="0"/>
        <v>1.3924022919926959E-2</v>
      </c>
    </row>
    <row r="10" spans="1:30" x14ac:dyDescent="0.2">
      <c r="B10" s="30" t="str">
        <f>Commodities!B66</f>
        <v>PWRSOXS</v>
      </c>
      <c r="C10" s="30" t="str">
        <f>Commodities!C66</f>
        <v>Power Sector Sulphur gases South Africa</v>
      </c>
      <c r="D10" s="30" t="str">
        <f>Commodities!D66</f>
        <v>KT</v>
      </c>
      <c r="H10" s="41">
        <f>P20</f>
        <v>6.7888987782183019</v>
      </c>
      <c r="P10" s="30" t="s">
        <v>2038</v>
      </c>
      <c r="R10" s="60">
        <v>218142</v>
      </c>
    </row>
    <row r="11" spans="1:30" x14ac:dyDescent="0.2">
      <c r="B11" s="30" t="str">
        <f>Commodities!B67</f>
        <v>PWRNOXS</v>
      </c>
      <c r="C11" s="30" t="str">
        <f>Commodities!C67</f>
        <v>Power Sector Nitrogen gases South Africa</v>
      </c>
      <c r="D11" s="30" t="str">
        <f>Commodities!D67</f>
        <v>KT</v>
      </c>
      <c r="H11" s="41">
        <f t="shared" ref="H11:H12" si="1">P21</f>
        <v>3.9795452706529653</v>
      </c>
      <c r="R11" s="60"/>
    </row>
    <row r="12" spans="1:30" x14ac:dyDescent="0.2">
      <c r="B12" s="30" t="str">
        <f>Commodities!B68</f>
        <v>PWRPM10</v>
      </c>
      <c r="C12" s="30" t="str">
        <f>Commodities!C68</f>
        <v>Power Sector Particulate Emissions</v>
      </c>
      <c r="D12" s="30" t="str">
        <f>Commodities!D68</f>
        <v>KT</v>
      </c>
      <c r="H12" s="41">
        <f t="shared" si="1"/>
        <v>10.110099522615098</v>
      </c>
      <c r="O12" s="47" t="s">
        <v>2109</v>
      </c>
      <c r="R12" s="60"/>
    </row>
    <row r="13" spans="1:30" x14ac:dyDescent="0.2">
      <c r="R13" s="60"/>
    </row>
    <row r="14" spans="1:30" x14ac:dyDescent="0.2">
      <c r="R14" s="60"/>
    </row>
    <row r="15" spans="1:30" x14ac:dyDescent="0.2">
      <c r="R15" s="60"/>
    </row>
    <row r="16" spans="1:30" x14ac:dyDescent="0.2">
      <c r="O16" s="30" t="s">
        <v>2107</v>
      </c>
    </row>
    <row r="17" spans="2:24" x14ac:dyDescent="0.2">
      <c r="Q17" s="30" t="s">
        <v>1921</v>
      </c>
      <c r="T17" s="30" t="s">
        <v>2112</v>
      </c>
    </row>
    <row r="18" spans="2:24" ht="15" x14ac:dyDescent="0.25">
      <c r="Q18" s="44" t="s">
        <v>2106</v>
      </c>
      <c r="R18" s="30" t="s">
        <v>2106</v>
      </c>
      <c r="S18" s="30" t="s">
        <v>2175</v>
      </c>
      <c r="T18" s="30" t="s">
        <v>1947</v>
      </c>
      <c r="U18" s="30" t="s">
        <v>2108</v>
      </c>
      <c r="V18" s="30" t="s">
        <v>1948</v>
      </c>
    </row>
    <row r="19" spans="2:24" x14ac:dyDescent="0.2">
      <c r="P19" s="30" t="s">
        <v>2111</v>
      </c>
      <c r="Q19" s="30" t="s">
        <v>2110</v>
      </c>
    </row>
    <row r="20" spans="2:24" x14ac:dyDescent="0.2">
      <c r="O20" s="30" t="s">
        <v>1912</v>
      </c>
      <c r="P20" s="394">
        <f>Q20*Deflator!$W$4</f>
        <v>6.7888987782183019</v>
      </c>
      <c r="Q20" s="380">
        <f>INDEX(R20:V20,1,MATCH($Q$18,$R$18:$V$18,0))</f>
        <v>7.6</v>
      </c>
      <c r="R20" s="380">
        <f>S32</f>
        <v>7.6</v>
      </c>
      <c r="S20" s="380">
        <f>R20*$S$23/$R$23</f>
        <v>14.544453545450754</v>
      </c>
      <c r="T20" s="380">
        <v>29</v>
      </c>
      <c r="U20" s="380">
        <v>51.6</v>
      </c>
      <c r="V20" s="380">
        <v>86.8</v>
      </c>
    </row>
    <row r="21" spans="2:24" x14ac:dyDescent="0.2">
      <c r="O21" s="30" t="s">
        <v>1913</v>
      </c>
      <c r="P21" s="394">
        <f>Q21*Deflator!$W$4</f>
        <v>3.9795452706529653</v>
      </c>
      <c r="Q21" s="380">
        <f>INDEX(R21:V21,1,MATCH($Q$18,$R$18:$V$18,0))</f>
        <v>4.4550000000000001</v>
      </c>
      <c r="R21" s="380">
        <f>Q32</f>
        <v>4.4550000000000001</v>
      </c>
      <c r="S21" s="380">
        <f t="shared" ref="S21:S22" si="2">R21*$S$23/$R$23</f>
        <v>8.5257290190767261</v>
      </c>
      <c r="T21" s="380">
        <v>26.7</v>
      </c>
      <c r="U21" s="380">
        <v>41.9</v>
      </c>
      <c r="V21" s="380">
        <v>64.7</v>
      </c>
    </row>
    <row r="22" spans="2:24" ht="15" x14ac:dyDescent="0.25">
      <c r="B22" s="495" t="s">
        <v>2451</v>
      </c>
      <c r="C22" s="484"/>
      <c r="D22" s="484"/>
      <c r="E22" s="330"/>
      <c r="O22" s="30" t="s">
        <v>1914</v>
      </c>
      <c r="P22" s="394">
        <f>Q22*Deflator!$W$4</f>
        <v>10.110099522615098</v>
      </c>
      <c r="Q22" s="380">
        <f>INDEX(R22:V22,1,MATCH($Q$18,$R$18:$V$18,0))</f>
        <v>11.318</v>
      </c>
      <c r="R22" s="380">
        <f>W32</f>
        <v>11.318</v>
      </c>
      <c r="S22" s="380">
        <f t="shared" si="2"/>
        <v>21.65975331939627</v>
      </c>
      <c r="T22" s="380">
        <v>116.7</v>
      </c>
      <c r="U22" s="380">
        <v>227.2</v>
      </c>
      <c r="V22" s="380">
        <v>402.3</v>
      </c>
    </row>
    <row r="23" spans="2:24" ht="12.75" x14ac:dyDescent="0.2">
      <c r="B23" s="485" t="s">
        <v>2431</v>
      </c>
      <c r="C23" s="485" t="s">
        <v>40</v>
      </c>
      <c r="D23" s="485" t="s">
        <v>2432</v>
      </c>
      <c r="E23" s="30">
        <v>0</v>
      </c>
      <c r="F23" s="486">
        <v>2017</v>
      </c>
      <c r="G23" s="30">
        <v>2024</v>
      </c>
      <c r="H23" s="30">
        <v>2025</v>
      </c>
      <c r="I23" s="30">
        <v>2028</v>
      </c>
      <c r="J23" s="30">
        <v>2030</v>
      </c>
      <c r="K23" s="30">
        <v>2032</v>
      </c>
      <c r="L23" s="30">
        <v>2040</v>
      </c>
      <c r="M23" s="30">
        <v>2050</v>
      </c>
      <c r="O23" s="30" t="s">
        <v>2173</v>
      </c>
      <c r="R23" s="409">
        <f>X47</f>
        <v>7.8380394040762816E-2</v>
      </c>
      <c r="S23" s="30">
        <v>0.15</v>
      </c>
    </row>
    <row r="24" spans="2:24" x14ac:dyDescent="0.2">
      <c r="B24" s="487" t="s">
        <v>92</v>
      </c>
      <c r="C24" s="487" t="s">
        <v>2551</v>
      </c>
      <c r="D24" s="487"/>
      <c r="F24" s="488"/>
      <c r="R24" s="60"/>
    </row>
    <row r="25" spans="2:24" x14ac:dyDescent="0.2">
      <c r="B25" s="46" t="s">
        <v>396</v>
      </c>
      <c r="C25" s="30" t="s">
        <v>129</v>
      </c>
      <c r="E25" s="30">
        <v>3</v>
      </c>
      <c r="G25" s="30">
        <v>0</v>
      </c>
      <c r="H25" s="30">
        <v>0.4</v>
      </c>
      <c r="I25" s="30">
        <v>0.55000000000000004</v>
      </c>
      <c r="J25" s="30">
        <v>0.5</v>
      </c>
      <c r="K25" s="30">
        <v>0.45</v>
      </c>
      <c r="L25" s="30">
        <v>0.4</v>
      </c>
      <c r="M25" s="30">
        <v>0.35</v>
      </c>
      <c r="P25" s="30" t="s">
        <v>2039</v>
      </c>
      <c r="R25" s="30">
        <f>R10*R9</f>
        <v>9589.1121233756767</v>
      </c>
    </row>
    <row r="26" spans="2:24" x14ac:dyDescent="0.2">
      <c r="B26" s="30" t="s">
        <v>1758</v>
      </c>
      <c r="C26" s="30" t="s">
        <v>129</v>
      </c>
      <c r="F26" s="30">
        <v>1</v>
      </c>
      <c r="P26" s="64"/>
    </row>
    <row r="27" spans="2:24" x14ac:dyDescent="0.2">
      <c r="B27" s="30" t="s">
        <v>1988</v>
      </c>
      <c r="C27" s="30" t="s">
        <v>344</v>
      </c>
      <c r="F27" s="41">
        <f>R9</f>
        <v>4.3958119588963507E-2</v>
      </c>
      <c r="J27" s="41">
        <f>T9</f>
        <v>2.6396143121846533E-2</v>
      </c>
      <c r="L27" s="41">
        <f>U9</f>
        <v>1.8712722468452805E-2</v>
      </c>
      <c r="M27" s="41">
        <f>V9</f>
        <v>1.3924022919926959E-2</v>
      </c>
      <c r="N27" s="41"/>
      <c r="X27" s="30" t="s">
        <v>2069</v>
      </c>
    </row>
    <row r="28" spans="2:24" x14ac:dyDescent="0.2">
      <c r="B28" s="30" t="s">
        <v>1988</v>
      </c>
      <c r="C28" s="30" t="s">
        <v>2477</v>
      </c>
      <c r="F28" s="39">
        <f>H10*1.406</f>
        <v>9.5451916821749325</v>
      </c>
      <c r="P28" s="64"/>
    </row>
    <row r="29" spans="2:24" x14ac:dyDescent="0.2">
      <c r="B29" s="30" t="s">
        <v>1988</v>
      </c>
      <c r="C29" s="30" t="s">
        <v>2478</v>
      </c>
      <c r="F29" s="39">
        <f>H11*1.406</f>
        <v>5.5952406505380692</v>
      </c>
    </row>
    <row r="30" spans="2:24" x14ac:dyDescent="0.2">
      <c r="B30" s="30" t="s">
        <v>1988</v>
      </c>
      <c r="C30" s="30" t="s">
        <v>2481</v>
      </c>
      <c r="F30" s="39">
        <f>H12*1.406</f>
        <v>14.214799928796827</v>
      </c>
      <c r="X30" s="30" t="s">
        <v>115</v>
      </c>
    </row>
    <row r="31" spans="2:24" x14ac:dyDescent="0.2">
      <c r="O31" s="30" t="s">
        <v>2031</v>
      </c>
      <c r="Q31" s="30" t="s">
        <v>1913</v>
      </c>
      <c r="S31" s="30" t="s">
        <v>1912</v>
      </c>
      <c r="U31" s="30" t="s">
        <v>2034</v>
      </c>
      <c r="W31" s="30" t="s">
        <v>2035</v>
      </c>
    </row>
    <row r="32" spans="2:24" x14ac:dyDescent="0.2">
      <c r="P32" s="30" t="s">
        <v>2072</v>
      </c>
      <c r="Q32" s="30">
        <v>4.4550000000000001</v>
      </c>
      <c r="S32" s="30">
        <v>7.6</v>
      </c>
      <c r="U32" s="30">
        <v>4.1000000000000002E-2</v>
      </c>
      <c r="W32" s="30">
        <v>11.318</v>
      </c>
    </row>
    <row r="33" spans="15:30" x14ac:dyDescent="0.2">
      <c r="P33" s="30" t="s">
        <v>2070</v>
      </c>
      <c r="Q33" s="41">
        <f>Q32*Deflator!$W$4</f>
        <v>3.9795452706529653</v>
      </c>
      <c r="S33" s="41">
        <f>S32*Deflator!$W$4</f>
        <v>6.7888987782183019</v>
      </c>
      <c r="Y33" s="30" t="s">
        <v>2084</v>
      </c>
      <c r="Z33" s="30" t="s">
        <v>2076</v>
      </c>
    </row>
    <row r="34" spans="15:30" x14ac:dyDescent="0.2">
      <c r="P34" s="30" t="s">
        <v>2075</v>
      </c>
      <c r="Q34" s="41">
        <f>Q32*U38/1000*100</f>
        <v>0.85090500000000002</v>
      </c>
      <c r="S34" s="30">
        <f>S32*U40/1000*100</f>
        <v>6.839999999999999</v>
      </c>
      <c r="X34" s="41">
        <f>SUM(Q34:S34)</f>
        <v>7.690904999999999</v>
      </c>
      <c r="Y34" s="39">
        <f>X34*Deflator!S3/Deflator!W3</f>
        <v>6.2114174698692768</v>
      </c>
    </row>
    <row r="35" spans="15:30" x14ac:dyDescent="0.2">
      <c r="T35" s="30" t="s">
        <v>2043</v>
      </c>
      <c r="Z35" s="30" t="s">
        <v>2077</v>
      </c>
      <c r="AB35" s="30" t="s">
        <v>2079</v>
      </c>
      <c r="AC35" s="30" t="s">
        <v>2083</v>
      </c>
      <c r="AD35" s="30" t="s">
        <v>2085</v>
      </c>
    </row>
    <row r="36" spans="15:30" x14ac:dyDescent="0.2">
      <c r="T36" s="30" t="s">
        <v>124</v>
      </c>
      <c r="U36" s="30" t="s">
        <v>2042</v>
      </c>
      <c r="V36" s="30" t="s">
        <v>2041</v>
      </c>
      <c r="W36" s="30" t="s">
        <v>2044</v>
      </c>
      <c r="X36" s="30" t="s">
        <v>132</v>
      </c>
      <c r="Z36" s="30" t="s">
        <v>2078</v>
      </c>
      <c r="AB36" s="30">
        <v>2051</v>
      </c>
      <c r="AC36" s="380">
        <f>AB36/1000*100</f>
        <v>205.10000000000002</v>
      </c>
    </row>
    <row r="37" spans="15:30" x14ac:dyDescent="0.2">
      <c r="O37" s="30" t="s">
        <v>2037</v>
      </c>
      <c r="P37" s="30" t="s">
        <v>2032</v>
      </c>
      <c r="T37" s="30">
        <f>R10*1000</f>
        <v>218142000</v>
      </c>
      <c r="Z37" s="30" t="s">
        <v>2081</v>
      </c>
      <c r="AA37" s="30">
        <v>379.5</v>
      </c>
      <c r="AB37" s="380">
        <f>AA37/$AA$40*AB$36</f>
        <v>237.90521747103952</v>
      </c>
      <c r="AC37" s="380">
        <f t="shared" ref="AC37:AC39" si="3">AB37/1000*100</f>
        <v>23.790521747103952</v>
      </c>
    </row>
    <row r="38" spans="15:30" x14ac:dyDescent="0.2">
      <c r="O38" s="30" t="s">
        <v>1913</v>
      </c>
      <c r="P38" s="30" t="s">
        <v>2033</v>
      </c>
      <c r="R38" s="60">
        <v>654.20000000000005</v>
      </c>
      <c r="U38" s="30">
        <v>1.91</v>
      </c>
      <c r="V38" s="60">
        <f>U38*T37</f>
        <v>416651220</v>
      </c>
      <c r="W38" s="60">
        <f>V38*Q32</f>
        <v>1856181185.1000001</v>
      </c>
      <c r="X38" s="60">
        <f>W38/1000000</f>
        <v>1856.1811851000002</v>
      </c>
      <c r="Y38" s="375">
        <f>X38/$X$45</f>
        <v>0.10856094950957698</v>
      </c>
      <c r="Z38" s="30" t="s">
        <v>2082</v>
      </c>
      <c r="AA38" s="30">
        <v>749.6</v>
      </c>
      <c r="AB38" s="380">
        <f t="shared" ref="AB38:AB39" si="4">AA38/$AA$40*AB$36</f>
        <v>469.91765748693348</v>
      </c>
      <c r="AC38" s="380">
        <f t="shared" si="3"/>
        <v>46.991765748693346</v>
      </c>
      <c r="AD38" s="380">
        <f>AC38*Deflator!S3/Deflator!W3</f>
        <v>37.952032265570651</v>
      </c>
    </row>
    <row r="39" spans="15:30" x14ac:dyDescent="0.2">
      <c r="P39" s="30" t="s">
        <v>2036</v>
      </c>
      <c r="R39" s="60">
        <f>Q32*R38</f>
        <v>2914.4610000000002</v>
      </c>
      <c r="Z39" s="30" t="s">
        <v>2080</v>
      </c>
      <c r="AA39" s="30">
        <v>2142.6</v>
      </c>
      <c r="AB39" s="380">
        <f t="shared" si="4"/>
        <v>1343.1771250420272</v>
      </c>
      <c r="AC39" s="380">
        <f t="shared" si="3"/>
        <v>134.31771250420272</v>
      </c>
    </row>
    <row r="40" spans="15:30" x14ac:dyDescent="0.2">
      <c r="O40" s="30" t="s">
        <v>1912</v>
      </c>
      <c r="P40" s="30" t="s">
        <v>2033</v>
      </c>
      <c r="R40" s="60">
        <v>1367.3</v>
      </c>
      <c r="U40" s="30">
        <v>9</v>
      </c>
      <c r="V40" s="60">
        <f>U40*T37</f>
        <v>1963278000</v>
      </c>
      <c r="W40" s="60">
        <f>V40*S32</f>
        <v>14920912800</v>
      </c>
      <c r="X40" s="60">
        <f>W40/1000000</f>
        <v>14920.9128</v>
      </c>
      <c r="Y40" s="375">
        <f>X40/$X$45</f>
        <v>0.87266721272704528</v>
      </c>
      <c r="AA40" s="30">
        <f>SUM(AA37:AA39)</f>
        <v>3271.7</v>
      </c>
    </row>
    <row r="41" spans="15:30" x14ac:dyDescent="0.2">
      <c r="P41" s="30" t="s">
        <v>2036</v>
      </c>
      <c r="R41" s="60">
        <f>R40*S32</f>
        <v>10391.48</v>
      </c>
    </row>
    <row r="42" spans="15:30" x14ac:dyDescent="0.2">
      <c r="O42" s="30" t="s">
        <v>1914</v>
      </c>
      <c r="U42" s="30">
        <v>0.13</v>
      </c>
      <c r="V42" s="30">
        <f>U42*T37</f>
        <v>28358460</v>
      </c>
      <c r="W42" s="30">
        <f>V42*W32</f>
        <v>320961050.27999997</v>
      </c>
      <c r="X42" s="60">
        <f>W42/1000000</f>
        <v>320.96105027999999</v>
      </c>
      <c r="Y42" s="375">
        <f>X42/$X$45</f>
        <v>1.8771786210143433E-2</v>
      </c>
    </row>
    <row r="44" spans="15:30" x14ac:dyDescent="0.2">
      <c r="O44" s="30" t="s">
        <v>2045</v>
      </c>
      <c r="U44" s="30">
        <f>R50</f>
        <v>9.8555190906907871E-5</v>
      </c>
      <c r="V44" s="30">
        <f>U44*T37</f>
        <v>21499.026454814695</v>
      </c>
      <c r="W44" s="30">
        <f>V44*U32</f>
        <v>881.4600846474026</v>
      </c>
      <c r="X44" s="389">
        <f>W44/1000000</f>
        <v>8.8146008464740262E-4</v>
      </c>
      <c r="Y44" s="393">
        <f>X44/$X$45</f>
        <v>5.1553234410658454E-8</v>
      </c>
    </row>
    <row r="45" spans="15:30" x14ac:dyDescent="0.2">
      <c r="W45" s="30" t="s">
        <v>132</v>
      </c>
      <c r="X45" s="60">
        <f>SUM(X38:X44)</f>
        <v>17098.055916840083</v>
      </c>
    </row>
    <row r="46" spans="15:30" x14ac:dyDescent="0.2">
      <c r="W46" s="30" t="s">
        <v>2172</v>
      </c>
      <c r="X46" s="60">
        <f>T37/1000</f>
        <v>218142</v>
      </c>
    </row>
    <row r="47" spans="15:30" x14ac:dyDescent="0.2">
      <c r="W47" s="30" t="s">
        <v>152</v>
      </c>
      <c r="X47" s="409">
        <f>X45/X46</f>
        <v>7.8380394040762816E-2</v>
      </c>
    </row>
    <row r="48" spans="15:30" x14ac:dyDescent="0.2">
      <c r="O48" s="30" t="s">
        <v>2046</v>
      </c>
      <c r="Q48" s="30" t="s">
        <v>2047</v>
      </c>
      <c r="R48" s="30">
        <v>19.7</v>
      </c>
      <c r="S48" s="30" t="s">
        <v>2049</v>
      </c>
    </row>
    <row r="49" spans="15:28" x14ac:dyDescent="0.2">
      <c r="O49" s="30" t="s">
        <v>2048</v>
      </c>
      <c r="Q49" s="30" t="s">
        <v>1090</v>
      </c>
      <c r="R49" s="60">
        <v>199888</v>
      </c>
      <c r="S49" s="30" t="s">
        <v>2050</v>
      </c>
    </row>
    <row r="50" spans="15:28" x14ac:dyDescent="0.2">
      <c r="O50" s="30" t="s">
        <v>2051</v>
      </c>
      <c r="Q50" s="30" t="s">
        <v>2042</v>
      </c>
      <c r="R50" s="30">
        <f>R48/R49</f>
        <v>9.8555190906907871E-5</v>
      </c>
    </row>
    <row r="52" spans="15:28" x14ac:dyDescent="0.2">
      <c r="O52" s="30" t="s">
        <v>2105</v>
      </c>
      <c r="AB52" s="30" t="s">
        <v>2174</v>
      </c>
    </row>
  </sheetData>
  <dataValidations count="1">
    <dataValidation type="list" allowBlank="1" showInputMessage="1" showErrorMessage="1" sqref="Q18" xr:uid="{40862151-5F57-4D65-900D-2608C0347D3C}">
      <formula1>$R$18:$V$18</formula1>
    </dataValidation>
  </dataValidations>
  <pageMargins left="0.75" right="0.75" top="1" bottom="1" header="0.5" footer="0.5"/>
  <pageSetup paperSize="9" orientation="landscape" horizontalDpi="1200" verticalDpi="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37ACE-EE01-46D1-9999-104E9112ED5A}">
  <sheetPr codeName="Sheet40">
    <tabColor theme="8"/>
  </sheetPr>
  <dimension ref="A1:AK59"/>
  <sheetViews>
    <sheetView workbookViewId="0">
      <selection activeCell="O32" sqref="O32:P33"/>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0.140625" style="30" customWidth="1"/>
    <col min="6" max="6" width="12.42578125" style="30" customWidth="1"/>
    <col min="7" max="24" width="9.140625" style="30"/>
    <col min="25" max="25" width="9.140625" style="395"/>
    <col min="26" max="29" width="9.140625" style="30"/>
    <col min="30" max="30" width="9.140625" style="395"/>
    <col min="31" max="16384" width="9.140625" style="30"/>
  </cols>
  <sheetData>
    <row r="1" spans="1:37" ht="11.25" customHeight="1" x14ac:dyDescent="0.2">
      <c r="A1" s="47"/>
      <c r="B1" s="9"/>
      <c r="F1" s="30" t="s">
        <v>92</v>
      </c>
      <c r="G1" s="30" t="s">
        <v>92</v>
      </c>
      <c r="H1" s="30" t="s">
        <v>92</v>
      </c>
      <c r="I1" s="30" t="s">
        <v>92</v>
      </c>
      <c r="J1" s="30" t="s">
        <v>92</v>
      </c>
      <c r="K1" s="30" t="s">
        <v>92</v>
      </c>
      <c r="L1" s="30" t="s">
        <v>92</v>
      </c>
      <c r="M1" s="30" t="s">
        <v>92</v>
      </c>
      <c r="V1" s="30" t="s">
        <v>92</v>
      </c>
      <c r="W1" s="30" t="s">
        <v>92</v>
      </c>
      <c r="X1" s="30" t="s">
        <v>92</v>
      </c>
      <c r="Y1" s="395" t="s">
        <v>92</v>
      </c>
      <c r="Z1" s="30" t="s">
        <v>92</v>
      </c>
      <c r="AA1" s="30" t="s">
        <v>92</v>
      </c>
      <c r="AB1" s="30" t="s">
        <v>92</v>
      </c>
      <c r="AC1" s="30" t="s">
        <v>92</v>
      </c>
      <c r="AD1" s="395" t="s">
        <v>92</v>
      </c>
      <c r="AE1" s="30" t="s">
        <v>92</v>
      </c>
      <c r="AF1" s="30" t="s">
        <v>92</v>
      </c>
      <c r="AG1" s="30" t="s">
        <v>92</v>
      </c>
      <c r="AH1" s="30" t="s">
        <v>92</v>
      </c>
      <c r="AI1" s="30" t="s">
        <v>92</v>
      </c>
      <c r="AJ1" s="30" t="s">
        <v>92</v>
      </c>
      <c r="AK1" s="30" t="s">
        <v>92</v>
      </c>
    </row>
    <row r="2" spans="1:37" ht="11.25" customHeight="1" x14ac:dyDescent="0.2">
      <c r="A2" s="45"/>
      <c r="L2" s="47" t="s">
        <v>1921</v>
      </c>
      <c r="Y2" s="396" t="s">
        <v>2116</v>
      </c>
      <c r="AD2" s="396" t="s">
        <v>2117</v>
      </c>
    </row>
    <row r="3" spans="1:37" ht="34.5" customHeight="1" x14ac:dyDescent="0.2">
      <c r="F3" s="59" t="s">
        <v>1777</v>
      </c>
      <c r="G3" s="59" t="s">
        <v>1785</v>
      </c>
      <c r="H3" s="59" t="s">
        <v>1786</v>
      </c>
      <c r="I3" s="59" t="s">
        <v>1778</v>
      </c>
      <c r="J3" s="59" t="s">
        <v>1783</v>
      </c>
      <c r="K3" s="59" t="s">
        <v>1784</v>
      </c>
      <c r="L3" s="59" t="s">
        <v>1779</v>
      </c>
      <c r="M3" s="59" t="s">
        <v>1780</v>
      </c>
      <c r="N3" s="59" t="s">
        <v>1780</v>
      </c>
      <c r="O3" s="59" t="s">
        <v>1780</v>
      </c>
      <c r="P3" s="59" t="s">
        <v>1780</v>
      </c>
      <c r="Q3" s="59"/>
      <c r="R3" s="59"/>
      <c r="S3" s="59"/>
      <c r="T3" s="59"/>
      <c r="U3" s="59"/>
      <c r="V3" s="59" t="s">
        <v>1781</v>
      </c>
      <c r="W3" s="59" t="s">
        <v>1780</v>
      </c>
      <c r="X3" s="59" t="s">
        <v>1782</v>
      </c>
      <c r="Y3" s="397" t="s">
        <v>1779</v>
      </c>
      <c r="Z3" s="59" t="s">
        <v>1780</v>
      </c>
      <c r="AA3" s="59" t="s">
        <v>1780</v>
      </c>
      <c r="AB3" s="59" t="s">
        <v>1780</v>
      </c>
      <c r="AC3" s="59" t="s">
        <v>1780</v>
      </c>
      <c r="AD3" s="397" t="s">
        <v>1779</v>
      </c>
      <c r="AE3" s="59" t="s">
        <v>1780</v>
      </c>
      <c r="AF3" s="59" t="s">
        <v>1780</v>
      </c>
      <c r="AG3" s="59" t="s">
        <v>1780</v>
      </c>
      <c r="AH3" s="59" t="s">
        <v>1780</v>
      </c>
    </row>
    <row r="4" spans="1:37" ht="21.75" customHeight="1" x14ac:dyDescent="0.25">
      <c r="D4" s="58"/>
      <c r="E4" s="58"/>
      <c r="F4" s="59" t="s">
        <v>2118</v>
      </c>
      <c r="G4" s="44" t="s">
        <v>2117</v>
      </c>
      <c r="M4" s="30" t="s">
        <v>2507</v>
      </c>
      <c r="N4" s="30" t="s">
        <v>2507</v>
      </c>
      <c r="O4" s="30" t="s">
        <v>2507</v>
      </c>
      <c r="P4" s="30" t="s">
        <v>2507</v>
      </c>
      <c r="Q4" s="46" t="s">
        <v>351</v>
      </c>
      <c r="R4" s="46" t="s">
        <v>351</v>
      </c>
      <c r="S4" s="46" t="s">
        <v>351</v>
      </c>
      <c r="T4" s="46" t="s">
        <v>351</v>
      </c>
      <c r="U4" s="46"/>
      <c r="Z4" s="30" t="s">
        <v>383</v>
      </c>
      <c r="AA4" s="30" t="s">
        <v>383</v>
      </c>
      <c r="AB4" s="30" t="s">
        <v>383</v>
      </c>
      <c r="AC4" s="30" t="s">
        <v>383</v>
      </c>
      <c r="AE4" s="30" t="s">
        <v>383</v>
      </c>
      <c r="AF4" s="30" t="s">
        <v>383</v>
      </c>
      <c r="AG4" s="30" t="s">
        <v>383</v>
      </c>
      <c r="AH4" s="30" t="s">
        <v>383</v>
      </c>
    </row>
    <row r="5" spans="1:37" ht="16.5" customHeight="1" x14ac:dyDescent="0.2">
      <c r="G5" s="30" t="s">
        <v>2116</v>
      </c>
      <c r="H5" s="30" t="s">
        <v>2117</v>
      </c>
      <c r="M5" s="30">
        <v>2017</v>
      </c>
      <c r="N5" s="30">
        <v>2021</v>
      </c>
      <c r="O5" s="30">
        <v>2025</v>
      </c>
      <c r="P5" s="30">
        <v>2030</v>
      </c>
      <c r="Q5" s="30">
        <f>M5</f>
        <v>2017</v>
      </c>
      <c r="R5" s="30">
        <f t="shared" ref="R5:T5" si="0">N5</f>
        <v>2021</v>
      </c>
      <c r="S5" s="30">
        <f t="shared" si="0"/>
        <v>2025</v>
      </c>
      <c r="T5" s="30">
        <f t="shared" si="0"/>
        <v>2030</v>
      </c>
      <c r="Z5" s="30" t="s">
        <v>119</v>
      </c>
      <c r="AA5" s="30" t="s">
        <v>119</v>
      </c>
      <c r="AB5" s="30" t="s">
        <v>119</v>
      </c>
      <c r="AC5" s="30" t="s">
        <v>119</v>
      </c>
      <c r="AE5" s="30" t="s">
        <v>119</v>
      </c>
      <c r="AF5" s="30" t="s">
        <v>119</v>
      </c>
      <c r="AG5" s="30" t="s">
        <v>119</v>
      </c>
      <c r="AH5" s="30" t="s">
        <v>119</v>
      </c>
    </row>
    <row r="6" spans="1:37" ht="17.25" customHeight="1" x14ac:dyDescent="0.2">
      <c r="E6" s="30" t="s">
        <v>2451</v>
      </c>
      <c r="V6" s="30" t="s">
        <v>2119</v>
      </c>
      <c r="W6" s="39">
        <f>W7-W23-W24-W25</f>
        <v>40.350928571428568</v>
      </c>
    </row>
    <row r="7" spans="1:37" ht="21.75" customHeight="1" x14ac:dyDescent="0.2">
      <c r="B7" s="47" t="s">
        <v>2411</v>
      </c>
      <c r="C7" s="47" t="s">
        <v>2412</v>
      </c>
      <c r="D7" s="47" t="s">
        <v>2421</v>
      </c>
      <c r="E7" s="47" t="s">
        <v>2422</v>
      </c>
      <c r="F7" s="30" t="s">
        <v>2506</v>
      </c>
      <c r="G7" s="30" t="s">
        <v>2506</v>
      </c>
      <c r="H7" s="30" t="s">
        <v>2506</v>
      </c>
      <c r="I7" s="30" t="s">
        <v>2506</v>
      </c>
      <c r="J7" s="30" t="s">
        <v>2506</v>
      </c>
      <c r="K7" s="30" t="s">
        <v>2506</v>
      </c>
      <c r="L7" s="30" t="s">
        <v>2506</v>
      </c>
      <c r="M7" s="59" t="str">
        <f>M4&amp;"~"&amp;M5</f>
        <v>NCAP_AF~UP~2017</v>
      </c>
      <c r="N7" s="59" t="str">
        <f t="shared" ref="N7:P7" si="1">N4&amp;"~"&amp;N5</f>
        <v>NCAP_AF~UP~2021</v>
      </c>
      <c r="O7" s="59" t="str">
        <f t="shared" si="1"/>
        <v>NCAP_AF~UP~2025</v>
      </c>
      <c r="P7" s="59" t="str">
        <f t="shared" si="1"/>
        <v>NCAP_AF~UP~2030</v>
      </c>
      <c r="Q7" s="59" t="str">
        <f>Q4&amp;"~"&amp;Q5</f>
        <v>NCAP_PKCNT~2017</v>
      </c>
      <c r="R7" s="59" t="str">
        <f t="shared" ref="R7:T7" si="2">R4&amp;"~"&amp;R5</f>
        <v>NCAP_PKCNT~2021</v>
      </c>
      <c r="S7" s="59" t="str">
        <f t="shared" si="2"/>
        <v>NCAP_PKCNT~2025</v>
      </c>
      <c r="T7" s="59" t="str">
        <f t="shared" si="2"/>
        <v>NCAP_PKCNT~2030</v>
      </c>
      <c r="U7" s="46"/>
      <c r="V7" s="39">
        <f>SUM(V9:V44)</f>
        <v>55.282499999999999</v>
      </c>
      <c r="W7" s="39">
        <f>SUM(W9:W44)</f>
        <v>41.136261904761902</v>
      </c>
      <c r="X7" s="39">
        <f>SUM(X9:X44)</f>
        <v>996.40355250970993</v>
      </c>
      <c r="Z7" s="30">
        <v>2017</v>
      </c>
      <c r="AA7" s="30">
        <v>2020</v>
      </c>
      <c r="AB7" s="30">
        <v>2025</v>
      </c>
      <c r="AC7" s="30">
        <v>2030</v>
      </c>
      <c r="AE7" s="30">
        <v>2017</v>
      </c>
      <c r="AF7" s="30">
        <v>2020</v>
      </c>
      <c r="AG7" s="30">
        <v>2025</v>
      </c>
      <c r="AH7" s="30">
        <v>2030</v>
      </c>
      <c r="AK7" s="30" t="s">
        <v>2120</v>
      </c>
    </row>
    <row r="8" spans="1:37" ht="11.25" customHeight="1" x14ac:dyDescent="0.2">
      <c r="A8" s="33" t="str">
        <f>ProcDataGenPre2012!B8</f>
        <v>* Existing Power Plants</v>
      </c>
      <c r="E8" s="36"/>
    </row>
    <row r="9" spans="1:37" ht="11.25" customHeight="1" x14ac:dyDescent="0.2">
      <c r="B9" s="30" t="str">
        <f>ProcDataGenPre2012!B9</f>
        <v>ETCLECAMD-E</v>
      </c>
      <c r="C9" s="30" t="str">
        <f>ProcDataGenPre2012!C9</f>
        <v>CAMDEN</v>
      </c>
      <c r="D9" s="30" t="str">
        <f>ProcDataGenPre2012!D9</f>
        <v>PWRCLECAMD</v>
      </c>
      <c r="E9" s="30" t="str">
        <f>ProcDataGenPre2012!E9</f>
        <v>ELCC</v>
      </c>
      <c r="F9" s="30">
        <f>INDEX(DecomSchedule!$N$4:$N$19,MATCH(C9,DecomSchedule!$A$4:$A$19,0))</f>
        <v>7</v>
      </c>
      <c r="G9" s="39"/>
      <c r="H9" s="39">
        <f>ProcDataGenPre2012!R9</f>
        <v>0.54111740129475128</v>
      </c>
      <c r="I9" s="39">
        <f>IF($G$4="LEAF",ProcDataLowEAF!H9,ProcDataGenPre2012!U9)</f>
        <v>0.58799999999999997</v>
      </c>
      <c r="J9" s="39">
        <f>IF($G$4="LEAF",ProcDataLowEAF!M9,ProcDataGenPre2012!Z9)</f>
        <v>0.24593400000000004</v>
      </c>
      <c r="K9" s="39">
        <f>IF($G$4="LEAF",ProcDataLowEAF!J9,ProcDataGenPre2012!AE9)</f>
        <v>0.43480400000000002</v>
      </c>
      <c r="L9" s="47">
        <f t="shared" ref="L9:L25" si="3">IF($G$4="LEAF",AD9,Y9)</f>
        <v>4</v>
      </c>
      <c r="M9" s="30">
        <v>0.67</v>
      </c>
      <c r="N9" s="30">
        <f t="shared" ref="N9:N33" si="4">IF($G$4="LEAF",AF9,AA9)</f>
        <v>0.4285714285714286</v>
      </c>
      <c r="O9" s="30">
        <f t="shared" ref="O9:O25" si="5">IF($G$4="LEAF",AH9,AB9)</f>
        <v>0.5</v>
      </c>
      <c r="P9" s="30">
        <f t="shared" ref="P9:P33" si="6">IF($G$4="LEAF",AH9,AC9)</f>
        <v>0.5</v>
      </c>
      <c r="Q9" s="30">
        <f>M9</f>
        <v>0.67</v>
      </c>
      <c r="R9" s="30">
        <f t="shared" ref="R9:T9" si="7">N9</f>
        <v>0.4285714285714286</v>
      </c>
      <c r="S9" s="30">
        <f t="shared" si="7"/>
        <v>0.5</v>
      </c>
      <c r="T9" s="30">
        <f t="shared" si="7"/>
        <v>0.5</v>
      </c>
      <c r="V9" s="30">
        <f>ProcDataGenPre2012!AV9</f>
        <v>1.4810000000000001</v>
      </c>
      <c r="W9" s="39">
        <f t="shared" ref="W9:W30" si="8">N9*V9</f>
        <v>0.63471428571428579</v>
      </c>
      <c r="X9" s="39">
        <f t="shared" ref="X9:X30" si="9">I9*V9*31.536</f>
        <v>27.462431808000002</v>
      </c>
      <c r="Y9" s="395">
        <v>3</v>
      </c>
      <c r="Z9" s="30">
        <v>0.67</v>
      </c>
      <c r="AA9" s="30">
        <f>1-Y9/$F9</f>
        <v>0.5714285714285714</v>
      </c>
      <c r="AB9" s="30" t="str">
        <f>""</f>
        <v/>
      </c>
      <c r="AC9" s="30" t="str">
        <f>""</f>
        <v/>
      </c>
      <c r="AD9" s="398">
        <v>4</v>
      </c>
      <c r="AE9" s="30">
        <v>0.67</v>
      </c>
      <c r="AF9" s="30">
        <f>1-AD9/$F9</f>
        <v>0.4285714285714286</v>
      </c>
      <c r="AG9" s="30">
        <f>(AF9+AH9)/2</f>
        <v>0.4642857142857143</v>
      </c>
      <c r="AH9" s="30">
        <f t="shared" ref="AH9:AH25" si="10">(AA9+AF9)/2</f>
        <v>0.5</v>
      </c>
    </row>
    <row r="10" spans="1:37" ht="11.25" customHeight="1" x14ac:dyDescent="0.2">
      <c r="B10" s="30" t="str">
        <f>ProcDataGenPre2012!B10</f>
        <v>ETCLEGROO-E</v>
      </c>
      <c r="C10" s="30" t="str">
        <f>ProcDataGenPre2012!C10</f>
        <v>GROOTVLEI</v>
      </c>
      <c r="D10" s="30" t="str">
        <f>ProcDataGenPre2012!D10</f>
        <v>PWRCLEGROO</v>
      </c>
      <c r="E10" s="30" t="str">
        <f>ProcDataGenPre2012!E10</f>
        <v>ELCC</v>
      </c>
      <c r="F10" s="30">
        <f>INDEX(DecomSchedule!$N$4:$N$19,MATCH(C10,DecomSchedule!$A$4:$A$19,0))</f>
        <v>3</v>
      </c>
      <c r="G10" s="39"/>
      <c r="H10" s="39">
        <f>ProcDataGenPre2012!R10</f>
        <v>0.36749690039180255</v>
      </c>
      <c r="I10" s="39">
        <f>IF($G$4="LEAF",ProcDataLowEAF!H10,ProcDataGenPre2012!U10)</f>
        <v>0.87367000000000006</v>
      </c>
      <c r="J10" s="39">
        <f>IF($G$4="LEAF",ProcDataLowEAF!M10,ProcDataGenPre2012!Z10)</f>
        <v>0</v>
      </c>
      <c r="K10" s="39">
        <f>IF($G$4="LEAF",ProcDataLowEAF!J10,ProcDataGenPre2012!AE10)</f>
        <v>0.632965</v>
      </c>
      <c r="L10" s="47">
        <f t="shared" si="3"/>
        <v>1.5</v>
      </c>
      <c r="M10" s="30">
        <v>0.6</v>
      </c>
      <c r="N10" s="30">
        <f t="shared" si="4"/>
        <v>0.5</v>
      </c>
      <c r="O10" s="30">
        <f t="shared" si="5"/>
        <v>0.5</v>
      </c>
      <c r="P10" s="30">
        <f t="shared" si="6"/>
        <v>0.5</v>
      </c>
      <c r="Q10" s="30">
        <f t="shared" ref="Q10:Q25" si="11">M10</f>
        <v>0.6</v>
      </c>
      <c r="R10" s="30">
        <f t="shared" ref="R10:R25" si="12">N10</f>
        <v>0.5</v>
      </c>
      <c r="S10" s="30">
        <f t="shared" ref="S10:S25" si="13">O10</f>
        <v>0.5</v>
      </c>
      <c r="T10" s="30">
        <f t="shared" ref="T10:T25" si="14">P10</f>
        <v>0.5</v>
      </c>
      <c r="V10" s="30">
        <f>ProcDataGenPre2012!AV10</f>
        <v>0.56999999999999995</v>
      </c>
      <c r="W10" s="39">
        <f t="shared" si="8"/>
        <v>0.28499999999999998</v>
      </c>
      <c r="X10" s="39">
        <f t="shared" si="9"/>
        <v>15.7046725584</v>
      </c>
      <c r="Y10" s="395">
        <v>1.5</v>
      </c>
      <c r="Z10" s="30">
        <v>0.6</v>
      </c>
      <c r="AA10" s="30">
        <f t="shared" ref="AA10:AA25" si="15">1-Y10/$F10</f>
        <v>0.5</v>
      </c>
      <c r="AB10" s="30" t="str">
        <f>""</f>
        <v/>
      </c>
      <c r="AC10" s="30" t="str">
        <f>""</f>
        <v/>
      </c>
      <c r="AD10" s="395">
        <v>1.5</v>
      </c>
      <c r="AE10" s="30">
        <v>0.6</v>
      </c>
      <c r="AF10" s="30">
        <f t="shared" ref="AF10:AF25" si="16">1-AD10/$F10</f>
        <v>0.5</v>
      </c>
      <c r="AG10" s="30">
        <f t="shared" ref="AG10:AG25" si="17">(AF10+AH10)/2</f>
        <v>0.5</v>
      </c>
      <c r="AH10" s="30">
        <f t="shared" si="10"/>
        <v>0.5</v>
      </c>
    </row>
    <row r="11" spans="1:37" ht="11.25" customHeight="1" x14ac:dyDescent="0.2">
      <c r="B11" s="30" t="str">
        <f>ProcDataGenPre2012!B11</f>
        <v>ETCLEKOMA-E</v>
      </c>
      <c r="C11" s="30" t="str">
        <f>ProcDataGenPre2012!C11</f>
        <v>KOMATI</v>
      </c>
      <c r="D11" s="30" t="str">
        <f>ProcDataGenPre2012!D11</f>
        <v>PWRCLEKOMA</v>
      </c>
      <c r="E11" s="30" t="str">
        <f>ProcDataGenPre2012!E11</f>
        <v>ELCC</v>
      </c>
      <c r="F11" s="30">
        <f>INDEX(DecomSchedule!$N$4:$N$19,MATCH(C11,DecomSchedule!$A$4:$A$19,0))</f>
        <v>4</v>
      </c>
      <c r="G11" s="39"/>
      <c r="H11" s="39">
        <f>ProcDataGenPre2012!R11</f>
        <v>0.33923410885870708</v>
      </c>
      <c r="I11" s="39">
        <f>IF($G$4="LEAF",ProcDataLowEAF!H11,ProcDataGenPre2012!U11)</f>
        <v>0.85642200000000002</v>
      </c>
      <c r="J11" s="39">
        <f>IF($G$4="LEAF",ProcDataLowEAF!M11,ProcDataGenPre2012!Z11)</f>
        <v>0</v>
      </c>
      <c r="K11" s="39">
        <f>IF($G$4="LEAF",ProcDataLowEAF!J11,ProcDataGenPre2012!AE11)</f>
        <v>0.62046899999999994</v>
      </c>
      <c r="L11" s="47">
        <f t="shared" si="3"/>
        <v>2</v>
      </c>
      <c r="M11" s="30">
        <v>0.6</v>
      </c>
      <c r="N11" s="30">
        <f t="shared" si="4"/>
        <v>0.5</v>
      </c>
      <c r="O11" s="30">
        <f t="shared" si="5"/>
        <v>0.625</v>
      </c>
      <c r="P11" s="30">
        <f t="shared" si="6"/>
        <v>0.625</v>
      </c>
      <c r="Q11" s="30">
        <f t="shared" si="11"/>
        <v>0.6</v>
      </c>
      <c r="R11" s="30">
        <f t="shared" si="12"/>
        <v>0.5</v>
      </c>
      <c r="S11" s="30">
        <f t="shared" si="13"/>
        <v>0.625</v>
      </c>
      <c r="T11" s="30">
        <f t="shared" si="14"/>
        <v>0.625</v>
      </c>
      <c r="V11" s="30">
        <f>ProcDataGenPre2012!AV11</f>
        <v>0.20499999999999999</v>
      </c>
      <c r="W11" s="39">
        <f t="shared" si="8"/>
        <v>0.10249999999999999</v>
      </c>
      <c r="X11" s="39">
        <f t="shared" si="9"/>
        <v>5.53666545936</v>
      </c>
      <c r="Y11" s="395">
        <v>1</v>
      </c>
      <c r="Z11" s="30">
        <v>0.6</v>
      </c>
      <c r="AA11" s="30">
        <f t="shared" si="15"/>
        <v>0.75</v>
      </c>
      <c r="AB11" s="30" t="str">
        <f>""</f>
        <v/>
      </c>
      <c r="AC11" s="30" t="str">
        <f>""</f>
        <v/>
      </c>
      <c r="AD11" s="395">
        <v>2</v>
      </c>
      <c r="AE11" s="30">
        <v>0.6</v>
      </c>
      <c r="AF11" s="30">
        <f t="shared" si="16"/>
        <v>0.5</v>
      </c>
      <c r="AG11" s="30">
        <f t="shared" si="17"/>
        <v>0.5625</v>
      </c>
      <c r="AH11" s="30">
        <f t="shared" si="10"/>
        <v>0.625</v>
      </c>
    </row>
    <row r="12" spans="1:37" ht="11.25" customHeight="1" x14ac:dyDescent="0.2">
      <c r="B12" s="30" t="str">
        <f>ProcDataGenPre2012!B12</f>
        <v>ETCLEARNO-E</v>
      </c>
      <c r="C12" s="30" t="str">
        <f>ProcDataGenPre2012!C12</f>
        <v>ARNOT</v>
      </c>
      <c r="D12" s="30" t="str">
        <f>ProcDataGenPre2012!D12</f>
        <v>PWRCLEARNO</v>
      </c>
      <c r="E12" s="30" t="str">
        <f>ProcDataGenPre2012!E12</f>
        <v>ELCC</v>
      </c>
      <c r="F12" s="30">
        <f>INDEX(DecomSchedule!$N$4:$N$19,MATCH(C12,DecomSchedule!$A$4:$A$19,0))</f>
        <v>6</v>
      </c>
      <c r="G12" s="39"/>
      <c r="H12" s="39">
        <f>ProcDataGenPre2012!R12</f>
        <v>0.52901509650216993</v>
      </c>
      <c r="I12" s="39">
        <f>IF($G$4="LEAF",ProcDataLowEAF!H12,ProcDataGenPre2012!U12)</f>
        <v>0.63758800000000004</v>
      </c>
      <c r="J12" s="39">
        <f>IF($G$4="LEAF",ProcDataLowEAF!M12,ProcDataGenPre2012!Z12)</f>
        <v>0.25537200000000004</v>
      </c>
      <c r="K12" s="39">
        <f>IF($G$4="LEAF",ProcDataLowEAF!J12,ProcDataGenPre2012!AE12)</f>
        <v>0.46405599999999997</v>
      </c>
      <c r="L12" s="47">
        <f t="shared" si="3"/>
        <v>2.5</v>
      </c>
      <c r="M12" s="30">
        <v>0.8</v>
      </c>
      <c r="N12" s="30">
        <f t="shared" si="4"/>
        <v>0.58333333333333326</v>
      </c>
      <c r="O12" s="30">
        <f t="shared" si="5"/>
        <v>0.625</v>
      </c>
      <c r="P12" s="30">
        <f t="shared" si="6"/>
        <v>0.625</v>
      </c>
      <c r="Q12" s="30">
        <f t="shared" si="11"/>
        <v>0.8</v>
      </c>
      <c r="R12" s="30">
        <f t="shared" si="12"/>
        <v>0.58333333333333326</v>
      </c>
      <c r="S12" s="30">
        <f t="shared" si="13"/>
        <v>0.625</v>
      </c>
      <c r="T12" s="30">
        <f t="shared" si="14"/>
        <v>0.625</v>
      </c>
      <c r="V12" s="30">
        <f>ProcDataGenPre2012!AV12</f>
        <v>2.2320000000000002</v>
      </c>
      <c r="W12" s="39">
        <f t="shared" si="8"/>
        <v>1.302</v>
      </c>
      <c r="X12" s="39">
        <f t="shared" si="9"/>
        <v>44.878768574976007</v>
      </c>
      <c r="Y12" s="395">
        <v>2</v>
      </c>
      <c r="Z12" s="30">
        <v>0.8</v>
      </c>
      <c r="AA12" s="30">
        <f t="shared" si="15"/>
        <v>0.66666666666666674</v>
      </c>
      <c r="AB12" s="30" t="str">
        <f>""</f>
        <v/>
      </c>
      <c r="AC12" s="30" t="str">
        <f>""</f>
        <v/>
      </c>
      <c r="AD12" s="398">
        <v>2.5</v>
      </c>
      <c r="AE12" s="30">
        <v>0.8</v>
      </c>
      <c r="AF12" s="30">
        <f t="shared" si="16"/>
        <v>0.58333333333333326</v>
      </c>
      <c r="AG12" s="30">
        <f t="shared" si="17"/>
        <v>0.60416666666666663</v>
      </c>
      <c r="AH12" s="30">
        <f t="shared" si="10"/>
        <v>0.625</v>
      </c>
    </row>
    <row r="13" spans="1:37" ht="11.25" customHeight="1" x14ac:dyDescent="0.2">
      <c r="B13" s="30" t="str">
        <f>ProcDataGenPre2012!B13</f>
        <v>ETCLEDUVH-E</v>
      </c>
      <c r="C13" s="30" t="str">
        <f>ProcDataGenPre2012!C13</f>
        <v>DUVHA</v>
      </c>
      <c r="D13" s="30" t="str">
        <f>ProcDataGenPre2012!D13</f>
        <v>PWRCLEDUVH</v>
      </c>
      <c r="E13" s="30" t="str">
        <f>ProcDataGenPre2012!E13</f>
        <v>ELCC</v>
      </c>
      <c r="F13" s="30">
        <f>INDEX(DecomSchedule!$N$4:$N$19,MATCH(C13,DecomSchedule!$A$4:$A$19,0))</f>
        <v>5</v>
      </c>
      <c r="G13" s="39"/>
      <c r="H13" s="39">
        <f>ProcDataGenPre2012!R13</f>
        <v>0.5492283190063032</v>
      </c>
      <c r="I13" s="39">
        <f>IF($G$4="LEAF",ProcDataLowEAF!H13,ProcDataGenPre2012!U13)</f>
        <v>0.53390399999999993</v>
      </c>
      <c r="J13" s="39">
        <f>IF($G$4="LEAF",ProcDataLowEAF!M13,ProcDataGenPre2012!Z13)</f>
        <v>0.238368</v>
      </c>
      <c r="K13" s="39">
        <f>IF($G$4="LEAF",ProcDataLowEAF!J13,ProcDataGenPre2012!AE13)</f>
        <v>0.4271359999999999</v>
      </c>
      <c r="L13" s="47">
        <f t="shared" si="3"/>
        <v>2.5</v>
      </c>
      <c r="M13" s="30">
        <v>0.8</v>
      </c>
      <c r="N13" s="30">
        <f t="shared" si="4"/>
        <v>0.5</v>
      </c>
      <c r="O13" s="30">
        <f t="shared" si="5"/>
        <v>0.55000000000000004</v>
      </c>
      <c r="P13" s="30">
        <f t="shared" si="6"/>
        <v>0.55000000000000004</v>
      </c>
      <c r="Q13" s="30">
        <f t="shared" si="11"/>
        <v>0.8</v>
      </c>
      <c r="R13" s="30">
        <f t="shared" si="12"/>
        <v>0.5</v>
      </c>
      <c r="S13" s="30">
        <f t="shared" si="13"/>
        <v>0.55000000000000004</v>
      </c>
      <c r="T13" s="30">
        <f t="shared" si="14"/>
        <v>0.55000000000000004</v>
      </c>
      <c r="V13" s="30">
        <f>ProcDataGenPre2012!AV13</f>
        <v>2.875</v>
      </c>
      <c r="W13" s="39">
        <f t="shared" si="8"/>
        <v>1.4375</v>
      </c>
      <c r="X13" s="39">
        <f t="shared" si="9"/>
        <v>48.406940063999997</v>
      </c>
      <c r="Y13" s="395">
        <v>2</v>
      </c>
      <c r="Z13" s="30">
        <v>0.8</v>
      </c>
      <c r="AA13" s="30">
        <f t="shared" si="15"/>
        <v>0.6</v>
      </c>
      <c r="AB13" s="30" t="str">
        <f>""</f>
        <v/>
      </c>
      <c r="AC13" s="30" t="str">
        <f>""</f>
        <v/>
      </c>
      <c r="AD13" s="398">
        <v>2.5</v>
      </c>
      <c r="AE13" s="30">
        <v>0.8</v>
      </c>
      <c r="AF13" s="30">
        <f t="shared" si="16"/>
        <v>0.5</v>
      </c>
      <c r="AG13" s="30">
        <f t="shared" si="17"/>
        <v>0.52500000000000002</v>
      </c>
      <c r="AH13" s="30">
        <f t="shared" si="10"/>
        <v>0.55000000000000004</v>
      </c>
    </row>
    <row r="14" spans="1:37" ht="11.25" customHeight="1" x14ac:dyDescent="0.2">
      <c r="B14" s="30" t="str">
        <f>ProcDataGenPre2012!B14</f>
        <v>ETCLEHEND-E</v>
      </c>
      <c r="C14" s="30" t="str">
        <f>ProcDataGenPre2012!C14</f>
        <v>HENDRINA</v>
      </c>
      <c r="D14" s="30" t="str">
        <f>ProcDataGenPre2012!D14</f>
        <v>PWRCLEHEND</v>
      </c>
      <c r="E14" s="30" t="str">
        <f>ProcDataGenPre2012!E14</f>
        <v>ELCC</v>
      </c>
      <c r="F14" s="30">
        <f>INDEX(DecomSchedule!$N$4:$N$19,MATCH(C14,DecomSchedule!$A$4:$A$19,0))</f>
        <v>7</v>
      </c>
      <c r="G14" s="39"/>
      <c r="H14" s="39">
        <f>ProcDataGenPre2012!R14</f>
        <v>0.55583709036115203</v>
      </c>
      <c r="I14" s="39">
        <f>IF($G$4="LEAF",ProcDataLowEAF!H14,ProcDataGenPre2012!U14)</f>
        <v>0.59711399999999992</v>
      </c>
      <c r="J14" s="39">
        <f>IF($G$4="LEAF",ProcDataLowEAF!M14,ProcDataGenPre2012!Z14)</f>
        <v>0.27046499999999996</v>
      </c>
      <c r="K14" s="39">
        <f>IF($G$4="LEAF",ProcDataLowEAF!J14,ProcDataGenPre2012!AE14)</f>
        <v>0.49238499999999991</v>
      </c>
      <c r="L14" s="47">
        <f t="shared" si="3"/>
        <v>2.5</v>
      </c>
      <c r="M14" s="30">
        <v>0.8</v>
      </c>
      <c r="N14" s="30">
        <f t="shared" si="4"/>
        <v>0.64285714285714279</v>
      </c>
      <c r="O14" s="30">
        <f t="shared" si="5"/>
        <v>0.6785714285714286</v>
      </c>
      <c r="P14" s="30">
        <f t="shared" si="6"/>
        <v>0.6785714285714286</v>
      </c>
      <c r="Q14" s="30">
        <f t="shared" si="11"/>
        <v>0.8</v>
      </c>
      <c r="R14" s="30">
        <f t="shared" si="12"/>
        <v>0.64285714285714279</v>
      </c>
      <c r="S14" s="30">
        <f t="shared" si="13"/>
        <v>0.6785714285714286</v>
      </c>
      <c r="T14" s="30">
        <f t="shared" si="14"/>
        <v>0.6785714285714286</v>
      </c>
      <c r="V14" s="30">
        <f>ProcDataGenPre2012!AV14</f>
        <v>1.2929999999999999</v>
      </c>
      <c r="W14" s="39">
        <f t="shared" si="8"/>
        <v>0.83121428571428557</v>
      </c>
      <c r="X14" s="39">
        <f t="shared" si="9"/>
        <v>24.347949125471995</v>
      </c>
      <c r="Y14" s="395">
        <v>2</v>
      </c>
      <c r="Z14" s="30">
        <v>0.8</v>
      </c>
      <c r="AA14" s="30">
        <f t="shared" si="15"/>
        <v>0.7142857142857143</v>
      </c>
      <c r="AB14" s="30" t="str">
        <f>""</f>
        <v/>
      </c>
      <c r="AC14" s="30" t="str">
        <f>""</f>
        <v/>
      </c>
      <c r="AD14" s="398">
        <v>2.5</v>
      </c>
      <c r="AE14" s="30">
        <v>0.8</v>
      </c>
      <c r="AF14" s="30">
        <f t="shared" si="16"/>
        <v>0.64285714285714279</v>
      </c>
      <c r="AG14" s="30">
        <f t="shared" si="17"/>
        <v>0.6607142857142857</v>
      </c>
      <c r="AH14" s="30">
        <f t="shared" si="10"/>
        <v>0.6785714285714286</v>
      </c>
    </row>
    <row r="15" spans="1:37" ht="11.25" customHeight="1" x14ac:dyDescent="0.2">
      <c r="B15" s="30" t="str">
        <f>ProcDataGenPre2012!B15</f>
        <v>ETCLEKEND-E</v>
      </c>
      <c r="C15" s="30" t="str">
        <f>ProcDataGenPre2012!C15</f>
        <v>KENDAL</v>
      </c>
      <c r="D15" s="30" t="str">
        <f>ProcDataGenPre2012!D15</f>
        <v>PWRCLEKEND</v>
      </c>
      <c r="E15" s="30" t="str">
        <f>ProcDataGenPre2012!E15</f>
        <v>ELCC</v>
      </c>
      <c r="F15" s="30">
        <f>INDEX(DecomSchedule!$N$4:$N$19,MATCH(C15,DecomSchedule!$A$4:$A$19,0))</f>
        <v>6</v>
      </c>
      <c r="G15" s="39"/>
      <c r="H15" s="39">
        <f>ProcDataGenPre2012!R15</f>
        <v>0.7392028286823541</v>
      </c>
      <c r="I15" s="39">
        <f>IF($G$4="LEAF",ProcDataLowEAF!H15,ProcDataGenPre2012!U15)</f>
        <v>0.68408999999999998</v>
      </c>
      <c r="J15" s="39">
        <f>IF($G$4="LEAF",ProcDataLowEAF!M15,ProcDataGenPre2012!Z15)</f>
        <v>0.51527300000000009</v>
      </c>
      <c r="K15" s="39">
        <f>IF($G$4="LEAF",ProcDataLowEAF!J15,ProcDataGenPre2012!AE15)</f>
        <v>0.55976849999999989</v>
      </c>
      <c r="L15" s="47">
        <f t="shared" si="3"/>
        <v>2</v>
      </c>
      <c r="M15" s="30">
        <v>1</v>
      </c>
      <c r="N15" s="30">
        <f t="shared" si="4"/>
        <v>0.66666666666666674</v>
      </c>
      <c r="O15" s="30">
        <f t="shared" si="5"/>
        <v>0.75</v>
      </c>
      <c r="P15" s="30">
        <f t="shared" si="6"/>
        <v>0.75</v>
      </c>
      <c r="Q15" s="30">
        <f t="shared" si="11"/>
        <v>1</v>
      </c>
      <c r="R15" s="30">
        <f t="shared" si="12"/>
        <v>0.66666666666666674</v>
      </c>
      <c r="S15" s="30">
        <f t="shared" si="13"/>
        <v>0.75</v>
      </c>
      <c r="T15" s="30">
        <f t="shared" si="14"/>
        <v>0.75</v>
      </c>
      <c r="V15" s="30">
        <f>ProcDataGenPre2012!AV15</f>
        <v>3.84</v>
      </c>
      <c r="W15" s="39">
        <f t="shared" si="8"/>
        <v>2.56</v>
      </c>
      <c r="X15" s="39">
        <f t="shared" si="9"/>
        <v>82.842095001600001</v>
      </c>
      <c r="Y15" s="395">
        <v>1</v>
      </c>
      <c r="Z15" s="30">
        <v>1</v>
      </c>
      <c r="AA15" s="30">
        <f t="shared" si="15"/>
        <v>0.83333333333333337</v>
      </c>
      <c r="AB15" s="30" t="str">
        <f>""</f>
        <v/>
      </c>
      <c r="AC15" s="30" t="str">
        <f>""</f>
        <v/>
      </c>
      <c r="AD15" s="398">
        <v>2</v>
      </c>
      <c r="AE15" s="30">
        <v>1</v>
      </c>
      <c r="AF15" s="30">
        <f t="shared" si="16"/>
        <v>0.66666666666666674</v>
      </c>
      <c r="AG15" s="30">
        <f t="shared" si="17"/>
        <v>0.70833333333333337</v>
      </c>
      <c r="AH15" s="30">
        <f t="shared" si="10"/>
        <v>0.75</v>
      </c>
    </row>
    <row r="16" spans="1:37" ht="11.25" customHeight="1" x14ac:dyDescent="0.2">
      <c r="B16" s="30" t="str">
        <f>ProcDataGenPre2012!B16</f>
        <v>ETCLEKRIE-E</v>
      </c>
      <c r="C16" s="30" t="str">
        <f>ProcDataGenPre2012!C16</f>
        <v>KRIEL</v>
      </c>
      <c r="D16" s="30" t="str">
        <f>ProcDataGenPre2012!D16</f>
        <v>PWRCLEKRIE</v>
      </c>
      <c r="E16" s="30" t="str">
        <f>ProcDataGenPre2012!E16</f>
        <v>ELCC</v>
      </c>
      <c r="F16" s="30">
        <f>INDEX(DecomSchedule!$N$4:$N$19,MATCH(C16,DecomSchedule!$A$4:$A$19,0))</f>
        <v>6</v>
      </c>
      <c r="G16" s="39"/>
      <c r="H16" s="39">
        <f>ProcDataGenPre2012!R16</f>
        <v>0.51428303219089555</v>
      </c>
      <c r="I16" s="39">
        <f>IF($G$4="LEAF",ProcDataLowEAF!H16,ProcDataGenPre2012!U16)</f>
        <v>0.53017999999999998</v>
      </c>
      <c r="J16" s="39">
        <f>IF($G$4="LEAF",ProcDataLowEAF!M16,ProcDataGenPre2012!Z16)</f>
        <v>0.25131599999999998</v>
      </c>
      <c r="K16" s="39">
        <f>IF($G$4="LEAF",ProcDataLowEAF!J16,ProcDataGenPre2012!AE16)</f>
        <v>0.38787299999999997</v>
      </c>
      <c r="L16" s="47">
        <f t="shared" si="3"/>
        <v>3</v>
      </c>
      <c r="M16" s="30">
        <v>0.8</v>
      </c>
      <c r="N16" s="30">
        <f t="shared" si="4"/>
        <v>0.5</v>
      </c>
      <c r="O16" s="30">
        <f t="shared" si="5"/>
        <v>0.58333333333333337</v>
      </c>
      <c r="P16" s="30">
        <f t="shared" si="6"/>
        <v>0.58333333333333337</v>
      </c>
      <c r="Q16" s="30">
        <f t="shared" si="11"/>
        <v>0.8</v>
      </c>
      <c r="R16" s="30">
        <f t="shared" si="12"/>
        <v>0.5</v>
      </c>
      <c r="S16" s="30">
        <f t="shared" si="13"/>
        <v>0.58333333333333337</v>
      </c>
      <c r="T16" s="30">
        <f t="shared" si="14"/>
        <v>0.58333333333333337</v>
      </c>
      <c r="V16" s="30">
        <f>ProcDataGenPre2012!AV16</f>
        <v>2.85</v>
      </c>
      <c r="W16" s="39">
        <f t="shared" si="8"/>
        <v>1.425</v>
      </c>
      <c r="X16" s="39">
        <f t="shared" si="9"/>
        <v>47.651305968000003</v>
      </c>
      <c r="Y16" s="395">
        <v>2</v>
      </c>
      <c r="Z16" s="30">
        <v>0.8</v>
      </c>
      <c r="AA16" s="30">
        <f t="shared" si="15"/>
        <v>0.66666666666666674</v>
      </c>
      <c r="AB16" s="30" t="str">
        <f>""</f>
        <v/>
      </c>
      <c r="AC16" s="30" t="str">
        <f>""</f>
        <v/>
      </c>
      <c r="AD16" s="398">
        <v>3</v>
      </c>
      <c r="AE16" s="30">
        <v>0.8</v>
      </c>
      <c r="AF16" s="30">
        <f t="shared" si="16"/>
        <v>0.5</v>
      </c>
      <c r="AG16" s="30">
        <f t="shared" si="17"/>
        <v>0.54166666666666674</v>
      </c>
      <c r="AH16" s="30">
        <f t="shared" si="10"/>
        <v>0.58333333333333337</v>
      </c>
    </row>
    <row r="17" spans="1:34" ht="11.25" customHeight="1" x14ac:dyDescent="0.2">
      <c r="B17" s="30" t="str">
        <f>ProcDataGenPre2012!B17</f>
        <v>ETCLELETH-E</v>
      </c>
      <c r="C17" s="30" t="str">
        <f>ProcDataGenPre2012!C17</f>
        <v>LETHABO</v>
      </c>
      <c r="D17" s="30" t="str">
        <f>ProcDataGenPre2012!D17</f>
        <v>PWRCLELETH</v>
      </c>
      <c r="E17" s="30" t="str">
        <f>ProcDataGenPre2012!E17</f>
        <v>ELCC</v>
      </c>
      <c r="F17" s="30">
        <f>INDEX(DecomSchedule!$N$4:$N$19,MATCH(C17,DecomSchedule!$A$4:$A$19,0))</f>
        <v>6</v>
      </c>
      <c r="G17" s="39"/>
      <c r="H17" s="39">
        <f>ProcDataGenPre2012!R17</f>
        <v>0.61629073285527491</v>
      </c>
      <c r="I17" s="39">
        <f>IF($G$4="LEAF",ProcDataLowEAF!H17,ProcDataGenPre2012!U17)</f>
        <v>0.72500399999999998</v>
      </c>
      <c r="J17" s="39">
        <f>IF($G$4="LEAF",ProcDataLowEAF!M17,ProcDataGenPre2012!Z17)</f>
        <v>0.29203199999999996</v>
      </c>
      <c r="K17" s="39">
        <f>IF($G$4="LEAF",ProcDataLowEAF!J17,ProcDataGenPre2012!AE17)</f>
        <v>0.53683099999999995</v>
      </c>
      <c r="L17" s="47">
        <f t="shared" si="3"/>
        <v>2</v>
      </c>
      <c r="M17" s="30">
        <v>0.8</v>
      </c>
      <c r="N17" s="30">
        <f t="shared" si="4"/>
        <v>0.66666666666666674</v>
      </c>
      <c r="O17" s="30">
        <f t="shared" si="5"/>
        <v>0.75</v>
      </c>
      <c r="P17" s="30">
        <f t="shared" si="6"/>
        <v>0.75</v>
      </c>
      <c r="Q17" s="30">
        <f t="shared" si="11"/>
        <v>0.8</v>
      </c>
      <c r="R17" s="30">
        <f t="shared" si="12"/>
        <v>0.66666666666666674</v>
      </c>
      <c r="S17" s="30">
        <f t="shared" si="13"/>
        <v>0.75</v>
      </c>
      <c r="T17" s="30">
        <f t="shared" si="14"/>
        <v>0.75</v>
      </c>
      <c r="V17" s="30">
        <f>ProcDataGenPre2012!AV17</f>
        <v>3.5579999999999998</v>
      </c>
      <c r="W17" s="39">
        <f t="shared" si="8"/>
        <v>2.3720000000000003</v>
      </c>
      <c r="X17" s="39">
        <f t="shared" si="9"/>
        <v>81.349137620351996</v>
      </c>
      <c r="Y17" s="395">
        <v>1</v>
      </c>
      <c r="Z17" s="30">
        <v>0.8</v>
      </c>
      <c r="AA17" s="30">
        <f t="shared" si="15"/>
        <v>0.83333333333333337</v>
      </c>
      <c r="AB17" s="30" t="str">
        <f>""</f>
        <v/>
      </c>
      <c r="AC17" s="30" t="str">
        <f>""</f>
        <v/>
      </c>
      <c r="AD17" s="398">
        <v>2</v>
      </c>
      <c r="AE17" s="30">
        <v>0.8</v>
      </c>
      <c r="AF17" s="30">
        <f t="shared" si="16"/>
        <v>0.66666666666666674</v>
      </c>
      <c r="AG17" s="30">
        <f t="shared" si="17"/>
        <v>0.70833333333333337</v>
      </c>
      <c r="AH17" s="30">
        <f t="shared" si="10"/>
        <v>0.75</v>
      </c>
    </row>
    <row r="18" spans="1:34" ht="11.25" customHeight="1" x14ac:dyDescent="0.2">
      <c r="B18" s="30" t="str">
        <f>ProcDataGenPre2012!B18</f>
        <v>ETCLEMAJD-E</v>
      </c>
      <c r="C18" s="30" t="str">
        <f>ProcDataGenPre2012!C18</f>
        <v>MAJUBA DRY</v>
      </c>
      <c r="D18" s="30" t="str">
        <f>ProcDataGenPre2012!D18</f>
        <v>PWRCLEMAJU</v>
      </c>
      <c r="E18" s="30" t="str">
        <f>ProcDataGenPre2012!E18</f>
        <v>ELCC</v>
      </c>
      <c r="F18" s="30">
        <f>INDEX(DecomSchedule!$N$4:$N$19,MATCH(C18,DecomSchedule!$A$4:$A$19,0))</f>
        <v>3</v>
      </c>
      <c r="G18" s="39"/>
      <c r="H18" s="39">
        <f>ProcDataGenPre2012!R18</f>
        <v>0.69869089871477885</v>
      </c>
      <c r="I18" s="39">
        <f>IF($G$4="LEAF",ProcDataLowEAF!H18,ProcDataGenPre2012!U18)</f>
        <v>0.72319499999999992</v>
      </c>
      <c r="J18" s="39">
        <f>IF($G$4="LEAF",ProcDataLowEAF!M18,ProcDataGenPre2012!Z18)</f>
        <v>0.53542800000000013</v>
      </c>
      <c r="K18" s="39">
        <f>IF($G$4="LEAF",ProcDataLowEAF!J18,ProcDataGenPre2012!AE18)</f>
        <v>0.64398599999999995</v>
      </c>
      <c r="L18" s="47">
        <f t="shared" si="3"/>
        <v>1</v>
      </c>
      <c r="M18" s="30">
        <v>0.8</v>
      </c>
      <c r="N18" s="30">
        <f t="shared" si="4"/>
        <v>0.66666666666666674</v>
      </c>
      <c r="O18" s="30">
        <f t="shared" si="5"/>
        <v>0.75</v>
      </c>
      <c r="P18" s="30">
        <f t="shared" si="6"/>
        <v>0.75</v>
      </c>
      <c r="Q18" s="30">
        <f t="shared" si="11"/>
        <v>0.8</v>
      </c>
      <c r="R18" s="30">
        <f t="shared" si="12"/>
        <v>0.66666666666666674</v>
      </c>
      <c r="S18" s="30">
        <f t="shared" si="13"/>
        <v>0.75</v>
      </c>
      <c r="T18" s="30">
        <f t="shared" si="14"/>
        <v>0.75</v>
      </c>
      <c r="V18" s="30">
        <f>ProcDataGenPre2012!AV18</f>
        <v>1.8330000000000002</v>
      </c>
      <c r="W18" s="39">
        <f t="shared" si="8"/>
        <v>1.2220000000000002</v>
      </c>
      <c r="X18" s="39">
        <f t="shared" si="9"/>
        <v>41.804639894159997</v>
      </c>
      <c r="Y18" s="395">
        <v>0.5</v>
      </c>
      <c r="Z18" s="30">
        <v>0.8</v>
      </c>
      <c r="AA18" s="30">
        <f t="shared" si="15"/>
        <v>0.83333333333333337</v>
      </c>
      <c r="AB18" s="30" t="str">
        <f>""</f>
        <v/>
      </c>
      <c r="AC18" s="30" t="str">
        <f>""</f>
        <v/>
      </c>
      <c r="AD18" s="398">
        <v>1</v>
      </c>
      <c r="AE18" s="30">
        <v>0.8</v>
      </c>
      <c r="AF18" s="30">
        <f t="shared" si="16"/>
        <v>0.66666666666666674</v>
      </c>
      <c r="AG18" s="30">
        <f t="shared" si="17"/>
        <v>0.70833333333333337</v>
      </c>
      <c r="AH18" s="30">
        <f t="shared" si="10"/>
        <v>0.75</v>
      </c>
    </row>
    <row r="19" spans="1:34" ht="11.25" customHeight="1" x14ac:dyDescent="0.2">
      <c r="B19" s="30" t="str">
        <f>ProcDataGenPre2012!B19</f>
        <v>ETCLEMAJW-E</v>
      </c>
      <c r="C19" s="30" t="str">
        <f>ProcDataGenPre2012!C19</f>
        <v>MAJUBA WET</v>
      </c>
      <c r="D19" s="30" t="str">
        <f>ProcDataGenPre2012!D19</f>
        <v>PWRCLEMAJU</v>
      </c>
      <c r="E19" s="30" t="str">
        <f>ProcDataGenPre2012!E19</f>
        <v>ELCC</v>
      </c>
      <c r="F19" s="30">
        <f>INDEX(DecomSchedule!$N$4:$N$19,MATCH(C19,DecomSchedule!$A$4:$A$19,0))</f>
        <v>3</v>
      </c>
      <c r="G19" s="39"/>
      <c r="H19" s="39">
        <f>ProcDataGenPre2012!R19</f>
        <v>0.69869089871477885</v>
      </c>
      <c r="I19" s="39">
        <f>IF($G$4="LEAF",ProcDataLowEAF!H19,ProcDataGenPre2012!U19)</f>
        <v>0.72319499999999992</v>
      </c>
      <c r="J19" s="39">
        <f>IF($G$4="LEAF",ProcDataLowEAF!M19,ProcDataGenPre2012!Z19)</f>
        <v>0.53542800000000013</v>
      </c>
      <c r="K19" s="39">
        <f>IF($G$4="LEAF",ProcDataLowEAF!J19,ProcDataGenPre2012!AE19)</f>
        <v>0.64398599999999995</v>
      </c>
      <c r="L19" s="47">
        <f t="shared" si="3"/>
        <v>1</v>
      </c>
      <c r="M19" s="30">
        <v>0.8</v>
      </c>
      <c r="N19" s="30">
        <f t="shared" si="4"/>
        <v>0.66666666666666674</v>
      </c>
      <c r="O19" s="30">
        <f t="shared" si="5"/>
        <v>0.75</v>
      </c>
      <c r="P19" s="30">
        <f t="shared" si="6"/>
        <v>0.75</v>
      </c>
      <c r="Q19" s="30">
        <f t="shared" si="11"/>
        <v>0.8</v>
      </c>
      <c r="R19" s="30">
        <f t="shared" si="12"/>
        <v>0.66666666666666674</v>
      </c>
      <c r="S19" s="30">
        <f t="shared" si="13"/>
        <v>0.75</v>
      </c>
      <c r="T19" s="30">
        <f t="shared" si="14"/>
        <v>0.75</v>
      </c>
      <c r="V19" s="30">
        <f>ProcDataGenPre2012!AV19</f>
        <v>2.0099999999999998</v>
      </c>
      <c r="W19" s="39">
        <f t="shared" si="8"/>
        <v>1.34</v>
      </c>
      <c r="X19" s="39">
        <f t="shared" si="9"/>
        <v>45.841421815199986</v>
      </c>
      <c r="Y19" s="395">
        <v>0.5</v>
      </c>
      <c r="Z19" s="30">
        <v>0.8</v>
      </c>
      <c r="AA19" s="30">
        <f t="shared" si="15"/>
        <v>0.83333333333333337</v>
      </c>
      <c r="AB19" s="30" t="str">
        <f>""</f>
        <v/>
      </c>
      <c r="AC19" s="30" t="str">
        <f>""</f>
        <v/>
      </c>
      <c r="AD19" s="398">
        <v>1</v>
      </c>
      <c r="AE19" s="30">
        <v>0.8</v>
      </c>
      <c r="AF19" s="30">
        <f t="shared" si="16"/>
        <v>0.66666666666666674</v>
      </c>
      <c r="AG19" s="30">
        <f t="shared" si="17"/>
        <v>0.70833333333333337</v>
      </c>
      <c r="AH19" s="30">
        <f t="shared" si="10"/>
        <v>0.75</v>
      </c>
    </row>
    <row r="20" spans="1:34" ht="11.25" customHeight="1" x14ac:dyDescent="0.2">
      <c r="B20" s="30" t="str">
        <f>ProcDataGenPre2012!B20</f>
        <v>ETCLEMATI-E</v>
      </c>
      <c r="C20" s="30" t="str">
        <f>ProcDataGenPre2012!C20</f>
        <v>MATIMBA</v>
      </c>
      <c r="D20" s="30" t="str">
        <f>ProcDataGenPre2012!D20</f>
        <v>PWRCLEMATI</v>
      </c>
      <c r="E20" s="30" t="str">
        <f>ProcDataGenPre2012!E20</f>
        <v>ELCC</v>
      </c>
      <c r="F20" s="30">
        <f>INDEX(DecomSchedule!$N$4:$N$19,MATCH(C20,DecomSchedule!$A$4:$A$19,0))</f>
        <v>6</v>
      </c>
      <c r="G20" s="39"/>
      <c r="H20" s="39">
        <f>ProcDataGenPre2012!R20</f>
        <v>0.8094138159760893</v>
      </c>
      <c r="I20" s="39">
        <f>IF($G$4="LEAF",ProcDataLowEAF!H20,ProcDataGenPre2012!U20)</f>
        <v>0.81922499999999998</v>
      </c>
      <c r="J20" s="39">
        <f>IF($G$4="LEAF",ProcDataLowEAF!M20,ProcDataGenPre2012!Z20)</f>
        <v>0.54467150000000009</v>
      </c>
      <c r="K20" s="39">
        <f>IF($G$4="LEAF",ProcDataLowEAF!J20,ProcDataGenPre2012!AE20)</f>
        <v>0.69802200000000003</v>
      </c>
      <c r="L20" s="47">
        <f t="shared" si="3"/>
        <v>0.5</v>
      </c>
      <c r="M20" s="30">
        <v>1</v>
      </c>
      <c r="N20" s="30">
        <f t="shared" si="4"/>
        <v>0.91666666666666663</v>
      </c>
      <c r="O20" s="30">
        <f t="shared" si="5"/>
        <v>0.95833333333333326</v>
      </c>
      <c r="P20" s="30">
        <f t="shared" si="6"/>
        <v>0.95833333333333326</v>
      </c>
      <c r="Q20" s="30">
        <f t="shared" si="11"/>
        <v>1</v>
      </c>
      <c r="R20" s="30">
        <f t="shared" si="12"/>
        <v>0.91666666666666663</v>
      </c>
      <c r="S20" s="30">
        <f t="shared" si="13"/>
        <v>0.95833333333333326</v>
      </c>
      <c r="T20" s="30">
        <f t="shared" si="14"/>
        <v>0.95833333333333326</v>
      </c>
      <c r="V20" s="30">
        <f>ProcDataGenPre2012!AV20</f>
        <v>3.69</v>
      </c>
      <c r="W20" s="39">
        <f t="shared" si="8"/>
        <v>3.3824999999999998</v>
      </c>
      <c r="X20" s="39">
        <f t="shared" si="9"/>
        <v>95.33144372400001</v>
      </c>
      <c r="Y20" s="395">
        <v>0</v>
      </c>
      <c r="Z20" s="30">
        <v>1</v>
      </c>
      <c r="AA20" s="30">
        <f t="shared" si="15"/>
        <v>1</v>
      </c>
      <c r="AB20" s="30" t="str">
        <f>""</f>
        <v/>
      </c>
      <c r="AC20" s="30" t="str">
        <f>""</f>
        <v/>
      </c>
      <c r="AD20" s="398">
        <v>0.5</v>
      </c>
      <c r="AE20" s="30">
        <v>1</v>
      </c>
      <c r="AF20" s="30">
        <f t="shared" si="16"/>
        <v>0.91666666666666663</v>
      </c>
      <c r="AG20" s="30">
        <f t="shared" si="17"/>
        <v>0.9375</v>
      </c>
      <c r="AH20" s="30">
        <f t="shared" si="10"/>
        <v>0.95833333333333326</v>
      </c>
    </row>
    <row r="21" spans="1:34" ht="11.25" customHeight="1" x14ac:dyDescent="0.2">
      <c r="B21" s="30" t="str">
        <f>ProcDataGenPre2012!B21</f>
        <v>ETCLEMATL-E</v>
      </c>
      <c r="C21" s="30" t="str">
        <f>ProcDataGenPre2012!C21</f>
        <v>MATLA</v>
      </c>
      <c r="D21" s="30" t="str">
        <f>ProcDataGenPre2012!D21</f>
        <v>PWRCLEMATL</v>
      </c>
      <c r="E21" s="30" t="str">
        <f>ProcDataGenPre2012!E21</f>
        <v>ELCC</v>
      </c>
      <c r="F21" s="30">
        <f>INDEX(DecomSchedule!$N$4:$N$19,MATCH(C21,DecomSchedule!$A$4:$A$19,0))</f>
        <v>6</v>
      </c>
      <c r="G21" s="39"/>
      <c r="H21" s="39">
        <f>ProcDataGenPre2012!R21</f>
        <v>0.64697127709025493</v>
      </c>
      <c r="I21" s="39">
        <f>IF($G$4="LEAF",ProcDataLowEAF!H21,ProcDataGenPre2012!U21)</f>
        <v>0.66626999999999992</v>
      </c>
      <c r="J21" s="39">
        <f>IF($G$4="LEAF",ProcDataLowEAF!M21,ProcDataGenPre2012!Z21)</f>
        <v>0.49018350000000005</v>
      </c>
      <c r="K21" s="39">
        <f>IF($G$4="LEAF",ProcDataLowEAF!J21,ProcDataGenPre2012!AE21)</f>
        <v>0.60482699999999989</v>
      </c>
      <c r="L21" s="47">
        <f t="shared" si="3"/>
        <v>2</v>
      </c>
      <c r="M21" s="30">
        <v>1</v>
      </c>
      <c r="N21" s="30">
        <f t="shared" si="4"/>
        <v>0.66666666666666674</v>
      </c>
      <c r="O21" s="30">
        <f t="shared" si="5"/>
        <v>0.75</v>
      </c>
      <c r="P21" s="30">
        <f t="shared" si="6"/>
        <v>0.75</v>
      </c>
      <c r="Q21" s="30">
        <f t="shared" si="11"/>
        <v>1</v>
      </c>
      <c r="R21" s="30">
        <f t="shared" si="12"/>
        <v>0.66666666666666674</v>
      </c>
      <c r="S21" s="30">
        <f t="shared" si="13"/>
        <v>0.75</v>
      </c>
      <c r="T21" s="30">
        <f t="shared" si="14"/>
        <v>0.75</v>
      </c>
      <c r="V21" s="30">
        <f>ProcDataGenPre2012!AV21</f>
        <v>3.45</v>
      </c>
      <c r="W21" s="39">
        <f t="shared" si="8"/>
        <v>2.3000000000000003</v>
      </c>
      <c r="X21" s="39">
        <f t="shared" si="9"/>
        <v>72.489642984</v>
      </c>
      <c r="Y21" s="395">
        <v>1</v>
      </c>
      <c r="Z21" s="30">
        <v>1</v>
      </c>
      <c r="AA21" s="30">
        <f t="shared" si="15"/>
        <v>0.83333333333333337</v>
      </c>
      <c r="AB21" s="30" t="str">
        <f>""</f>
        <v/>
      </c>
      <c r="AC21" s="30" t="str">
        <f>""</f>
        <v/>
      </c>
      <c r="AD21" s="398">
        <v>2</v>
      </c>
      <c r="AE21" s="30">
        <v>1</v>
      </c>
      <c r="AF21" s="30">
        <f t="shared" si="16"/>
        <v>0.66666666666666674</v>
      </c>
      <c r="AG21" s="30">
        <f t="shared" si="17"/>
        <v>0.70833333333333337</v>
      </c>
      <c r="AH21" s="30">
        <f t="shared" si="10"/>
        <v>0.75</v>
      </c>
    </row>
    <row r="22" spans="1:34" ht="11.25" customHeight="1" x14ac:dyDescent="0.2">
      <c r="B22" s="30" t="str">
        <f>ProcDataGenPre2012!B22</f>
        <v>ETCLETUTU-E</v>
      </c>
      <c r="C22" s="30" t="str">
        <f>ProcDataGenPre2012!C22</f>
        <v>TUTUKA</v>
      </c>
      <c r="D22" s="30" t="str">
        <f>ProcDataGenPre2012!D22</f>
        <v>PWRCLETUTU</v>
      </c>
      <c r="E22" s="30" t="str">
        <f>ProcDataGenPre2012!E22</f>
        <v>ELCC</v>
      </c>
      <c r="F22" s="30">
        <f>INDEX(DecomSchedule!$N$4:$N$19,MATCH(C22,DecomSchedule!$A$4:$A$19,0))</f>
        <v>6</v>
      </c>
      <c r="G22" s="39"/>
      <c r="H22" s="39">
        <f>ProcDataGenPre2012!R22</f>
        <v>0.5381100970535827</v>
      </c>
      <c r="I22" s="39">
        <f>IF($G$4="LEAF",ProcDataLowEAF!H22,ProcDataGenPre2012!U22)</f>
        <v>0.54938799999999999</v>
      </c>
      <c r="J22" s="39">
        <f>IF($G$4="LEAF",ProcDataLowEAF!M22,ProcDataGenPre2012!Z22)</f>
        <v>0.23848499999999997</v>
      </c>
      <c r="K22" s="39">
        <f>IF($G$4="LEAF",ProcDataLowEAF!J22,ProcDataGenPre2012!AE22)</f>
        <v>0.38375499999999996</v>
      </c>
      <c r="L22" s="47">
        <f t="shared" si="3"/>
        <v>2.5</v>
      </c>
      <c r="M22" s="30">
        <v>0.8</v>
      </c>
      <c r="N22" s="30">
        <f t="shared" si="4"/>
        <v>0.58333333333333326</v>
      </c>
      <c r="O22" s="30">
        <f t="shared" si="5"/>
        <v>0.625</v>
      </c>
      <c r="P22" s="30">
        <f t="shared" si="6"/>
        <v>0.625</v>
      </c>
      <c r="Q22" s="30">
        <f t="shared" si="11"/>
        <v>0.8</v>
      </c>
      <c r="R22" s="30">
        <f t="shared" si="12"/>
        <v>0.58333333333333326</v>
      </c>
      <c r="S22" s="30">
        <f t="shared" si="13"/>
        <v>0.625</v>
      </c>
      <c r="T22" s="30">
        <f t="shared" si="14"/>
        <v>0.625</v>
      </c>
      <c r="V22" s="30">
        <f>ProcDataGenPre2012!AV22</f>
        <v>3.51</v>
      </c>
      <c r="W22" s="39">
        <f t="shared" si="8"/>
        <v>2.0474999999999994</v>
      </c>
      <c r="X22" s="39">
        <f t="shared" si="9"/>
        <v>60.812504887679999</v>
      </c>
      <c r="Y22" s="395">
        <v>2</v>
      </c>
      <c r="Z22" s="30">
        <v>0.8</v>
      </c>
      <c r="AA22" s="30">
        <f t="shared" si="15"/>
        <v>0.66666666666666674</v>
      </c>
      <c r="AB22" s="30" t="str">
        <f>""</f>
        <v/>
      </c>
      <c r="AC22" s="30" t="str">
        <f>""</f>
        <v/>
      </c>
      <c r="AD22" s="398">
        <v>2.5</v>
      </c>
      <c r="AE22" s="30">
        <v>0.8</v>
      </c>
      <c r="AF22" s="30">
        <f t="shared" si="16"/>
        <v>0.58333333333333326</v>
      </c>
      <c r="AG22" s="30">
        <f t="shared" si="17"/>
        <v>0.60416666666666663</v>
      </c>
      <c r="AH22" s="30">
        <f t="shared" si="10"/>
        <v>0.625</v>
      </c>
    </row>
    <row r="23" spans="1:34" ht="11.25" customHeight="1" x14ac:dyDescent="0.2">
      <c r="B23" s="30" t="str">
        <f>ProcDataGenPre2012!B23</f>
        <v>ETCLEKELB-E</v>
      </c>
      <c r="C23" s="30" t="str">
        <f>ProcDataGenPre2012!C23</f>
        <v>KELVIN B</v>
      </c>
      <c r="D23" s="30" t="str">
        <f>ProcDataGenPre2012!D23</f>
        <v>PWRCLE</v>
      </c>
      <c r="E23" s="30" t="str">
        <f>ProcDataGenPre2012!E23</f>
        <v>ELCC</v>
      </c>
      <c r="F23" s="323">
        <v>3</v>
      </c>
      <c r="G23" s="39">
        <f>ProcDataGenPre2012!Q23</f>
        <v>0</v>
      </c>
      <c r="H23" s="39"/>
      <c r="I23" s="39">
        <f>ProcDataGenPre2012!R23</f>
        <v>0.32478976407914761</v>
      </c>
      <c r="J23" s="39">
        <f>ProcDataGenPre2012!U23</f>
        <v>0</v>
      </c>
      <c r="K23" s="39">
        <f>ProcDataGenPre2012!Z23</f>
        <v>0</v>
      </c>
      <c r="L23" s="47">
        <f t="shared" si="3"/>
        <v>2</v>
      </c>
      <c r="M23" s="30">
        <v>0.8</v>
      </c>
      <c r="N23" s="30">
        <f t="shared" si="4"/>
        <v>0.33333333333333337</v>
      </c>
      <c r="O23" s="30">
        <f t="shared" si="5"/>
        <v>0.33333333333333337</v>
      </c>
      <c r="P23" s="30">
        <f t="shared" si="6"/>
        <v>0.33333333333333337</v>
      </c>
      <c r="Q23" s="30">
        <f t="shared" si="11"/>
        <v>0.8</v>
      </c>
      <c r="R23" s="30">
        <f t="shared" si="12"/>
        <v>0.33333333333333337</v>
      </c>
      <c r="S23" s="30">
        <f t="shared" si="13"/>
        <v>0.33333333333333337</v>
      </c>
      <c r="T23" s="30">
        <f t="shared" si="14"/>
        <v>0.33333333333333337</v>
      </c>
      <c r="V23" s="30">
        <f>ProcDataGenPre2012!AV23</f>
        <v>0.6</v>
      </c>
      <c r="W23" s="39">
        <f t="shared" si="8"/>
        <v>0.2</v>
      </c>
      <c r="X23" s="39">
        <f t="shared" si="9"/>
        <v>6.1455419999999998</v>
      </c>
      <c r="Y23" s="395">
        <v>2</v>
      </c>
      <c r="Z23" s="30">
        <v>0.8</v>
      </c>
      <c r="AA23" s="30">
        <f t="shared" si="15"/>
        <v>0.33333333333333337</v>
      </c>
      <c r="AB23" s="30" t="str">
        <f>""</f>
        <v/>
      </c>
      <c r="AC23" s="30" t="str">
        <f>""</f>
        <v/>
      </c>
      <c r="AD23" s="395">
        <v>2</v>
      </c>
      <c r="AE23" s="30">
        <v>0.8</v>
      </c>
      <c r="AF23" s="30">
        <f t="shared" si="16"/>
        <v>0.33333333333333337</v>
      </c>
      <c r="AG23" s="30">
        <f t="shared" si="17"/>
        <v>0.33333333333333337</v>
      </c>
      <c r="AH23" s="30">
        <f t="shared" si="10"/>
        <v>0.33333333333333337</v>
      </c>
    </row>
    <row r="24" spans="1:34" ht="11.25" customHeight="1" x14ac:dyDescent="0.2">
      <c r="A24" s="33"/>
      <c r="B24" s="30" t="str">
        <f>ProcDataGenPre2012!B24</f>
        <v>ETCLEPFSS-E</v>
      </c>
      <c r="C24" s="30" t="str">
        <f>ProcDataGenPre2012!C24</f>
        <v>Sasol SSF Coal Plant</v>
      </c>
      <c r="D24" s="30" t="str">
        <f>ProcDataGenPre2012!D24</f>
        <v>UPSCLE</v>
      </c>
      <c r="E24" s="30" t="str">
        <f>ProcDataGenPre2012!E24</f>
        <v>UPSELC</v>
      </c>
      <c r="F24" s="30">
        <v>6</v>
      </c>
      <c r="G24" s="39">
        <f>ProcDataGenPre2012!Q24</f>
        <v>0</v>
      </c>
      <c r="H24" s="39"/>
      <c r="I24" s="39">
        <f>ProcDataGenPre2012!R24</f>
        <v>0.73182243390231716</v>
      </c>
      <c r="J24" s="39">
        <f>I24</f>
        <v>0.73182243390231716</v>
      </c>
      <c r="K24" s="39">
        <f>J24</f>
        <v>0.73182243390231716</v>
      </c>
      <c r="L24" s="47">
        <f t="shared" si="3"/>
        <v>1</v>
      </c>
      <c r="M24" s="30">
        <v>1</v>
      </c>
      <c r="N24" s="30">
        <f t="shared" si="4"/>
        <v>0.83333333333333337</v>
      </c>
      <c r="O24" s="30">
        <f t="shared" si="5"/>
        <v>0.83333333333333337</v>
      </c>
      <c r="P24" s="30">
        <f t="shared" si="6"/>
        <v>0.83333333333333337</v>
      </c>
      <c r="Q24" s="30">
        <f t="shared" si="11"/>
        <v>1</v>
      </c>
      <c r="R24" s="30">
        <f t="shared" si="12"/>
        <v>0.83333333333333337</v>
      </c>
      <c r="S24" s="30">
        <f t="shared" si="13"/>
        <v>0.83333333333333337</v>
      </c>
      <c r="T24" s="30">
        <f t="shared" si="14"/>
        <v>0.83333333333333337</v>
      </c>
      <c r="V24" s="30">
        <f>ProcDataGenPre2012!AT24</f>
        <v>0.6</v>
      </c>
      <c r="W24" s="39">
        <f t="shared" si="8"/>
        <v>0.5</v>
      </c>
      <c r="X24" s="39">
        <f t="shared" si="9"/>
        <v>13.847251365326086</v>
      </c>
      <c r="Y24" s="395">
        <v>1</v>
      </c>
      <c r="Z24" s="30">
        <v>1</v>
      </c>
      <c r="AA24" s="30">
        <f t="shared" si="15"/>
        <v>0.83333333333333337</v>
      </c>
      <c r="AB24" s="30" t="str">
        <f>""</f>
        <v/>
      </c>
      <c r="AC24" s="30" t="str">
        <f>""</f>
        <v/>
      </c>
      <c r="AD24" s="395">
        <v>1</v>
      </c>
      <c r="AE24" s="30">
        <v>1</v>
      </c>
      <c r="AF24" s="30">
        <f t="shared" si="16"/>
        <v>0.83333333333333337</v>
      </c>
      <c r="AG24" s="30">
        <f t="shared" si="17"/>
        <v>0.83333333333333337</v>
      </c>
      <c r="AH24" s="30">
        <f t="shared" si="10"/>
        <v>0.83333333333333337</v>
      </c>
    </row>
    <row r="25" spans="1:34" ht="11.25" customHeight="1" x14ac:dyDescent="0.2">
      <c r="B25" s="30" t="str">
        <f>ProcDataGenPre2012!B25</f>
        <v>ETCLEPFSI-E</v>
      </c>
      <c r="C25" s="30" t="str">
        <f>ProcDataGenPre2012!C25</f>
        <v>Sasol Infrachem Coal Plant</v>
      </c>
      <c r="D25" s="30" t="str">
        <f>ProcDataGenPre2012!D25</f>
        <v>INDCLE</v>
      </c>
      <c r="E25" s="30" t="str">
        <f>ProcDataGenPre2012!E25</f>
        <v>ICPELC</v>
      </c>
      <c r="F25" s="30">
        <v>3</v>
      </c>
      <c r="G25" s="39">
        <f>ProcDataGenPre2012!Q25</f>
        <v>0</v>
      </c>
      <c r="H25" s="39"/>
      <c r="I25" s="39">
        <f>ProcDataGenPre2012!R25</f>
        <v>0.55688169145976019</v>
      </c>
      <c r="J25" s="39">
        <f>I25</f>
        <v>0.55688169145976019</v>
      </c>
      <c r="K25" s="39">
        <f>J25</f>
        <v>0.55688169145976019</v>
      </c>
      <c r="L25" s="47">
        <f t="shared" si="3"/>
        <v>1</v>
      </c>
      <c r="M25" s="30">
        <v>0.8</v>
      </c>
      <c r="N25" s="30">
        <f t="shared" si="4"/>
        <v>0.66666666666666674</v>
      </c>
      <c r="O25" s="30">
        <f t="shared" si="5"/>
        <v>0.66666666666666674</v>
      </c>
      <c r="P25" s="30">
        <f t="shared" si="6"/>
        <v>0.66666666666666674</v>
      </c>
      <c r="Q25" s="30">
        <f t="shared" si="11"/>
        <v>0.8</v>
      </c>
      <c r="R25" s="30">
        <f t="shared" si="12"/>
        <v>0.66666666666666674</v>
      </c>
      <c r="S25" s="30">
        <f t="shared" si="13"/>
        <v>0.66666666666666674</v>
      </c>
      <c r="T25" s="30">
        <f t="shared" si="14"/>
        <v>0.66666666666666674</v>
      </c>
      <c r="V25" s="30">
        <f>ProcDataGenPre2012!AT25</f>
        <v>0.128</v>
      </c>
      <c r="W25" s="39">
        <f t="shared" si="8"/>
        <v>8.5333333333333344E-2</v>
      </c>
      <c r="X25" s="39">
        <f t="shared" si="9"/>
        <v>2.2479130907999996</v>
      </c>
      <c r="Y25" s="395">
        <v>1</v>
      </c>
      <c r="Z25" s="30">
        <v>0.8</v>
      </c>
      <c r="AA25" s="30">
        <f t="shared" si="15"/>
        <v>0.66666666666666674</v>
      </c>
      <c r="AB25" s="30" t="str">
        <f>""</f>
        <v/>
      </c>
      <c r="AC25" s="30" t="str">
        <f>""</f>
        <v/>
      </c>
      <c r="AD25" s="395">
        <v>1</v>
      </c>
      <c r="AE25" s="30">
        <v>0.8</v>
      </c>
      <c r="AF25" s="30">
        <f t="shared" si="16"/>
        <v>0.66666666666666674</v>
      </c>
      <c r="AG25" s="30">
        <f t="shared" si="17"/>
        <v>0.66666666666666674</v>
      </c>
      <c r="AH25" s="30">
        <f t="shared" si="10"/>
        <v>0.66666666666666674</v>
      </c>
    </row>
    <row r="26" spans="1:34" ht="11.25" customHeight="1" x14ac:dyDescent="0.2">
      <c r="B26" s="30" t="str">
        <f>ProcDataGenPre2012!B26</f>
        <v>ETODSGT-E</v>
      </c>
      <c r="C26" s="30" t="str">
        <f>ProcDataGenPre2012!C26</f>
        <v>OCGT liquid fuels Existing</v>
      </c>
      <c r="D26" s="30" t="str">
        <f>ProcDataGenPre2012!D26</f>
        <v>PWRODS</v>
      </c>
      <c r="E26" s="30" t="str">
        <f>ProcDataGenPre2012!E26</f>
        <v>ELCC</v>
      </c>
      <c r="G26" s="323">
        <v>0.05</v>
      </c>
      <c r="H26" s="323">
        <v>0.05</v>
      </c>
      <c r="I26" s="323">
        <v>0.05</v>
      </c>
      <c r="J26" s="323">
        <v>0.05</v>
      </c>
      <c r="K26" s="323">
        <v>0.05</v>
      </c>
      <c r="L26" s="47"/>
      <c r="N26" s="30">
        <f t="shared" si="4"/>
        <v>1</v>
      </c>
      <c r="O26" s="30" t="str">
        <f t="shared" ref="O26:O33" si="18">IF($G$4="LEAF",AG26,AB26)</f>
        <v/>
      </c>
      <c r="P26" s="30" t="str">
        <f t="shared" si="6"/>
        <v/>
      </c>
      <c r="Q26" s="30">
        <v>1</v>
      </c>
      <c r="V26" s="30">
        <f>ProcDataGenPre2012!AT26</f>
        <v>2.4</v>
      </c>
      <c r="W26" s="39">
        <f t="shared" si="8"/>
        <v>2.4</v>
      </c>
      <c r="X26" s="39">
        <f t="shared" si="9"/>
        <v>3.7843200000000001</v>
      </c>
      <c r="Y26" s="30" t="str">
        <f>""</f>
        <v/>
      </c>
      <c r="Z26" s="30" t="str">
        <f>""</f>
        <v/>
      </c>
      <c r="AA26" s="30">
        <v>1</v>
      </c>
      <c r="AB26" s="30" t="str">
        <f>""</f>
        <v/>
      </c>
      <c r="AC26" s="30" t="str">
        <f>""</f>
        <v/>
      </c>
      <c r="AF26" s="30">
        <v>1</v>
      </c>
      <c r="AG26" s="30" t="str">
        <f>""</f>
        <v/>
      </c>
      <c r="AH26" s="30" t="str">
        <f>""</f>
        <v/>
      </c>
    </row>
    <row r="27" spans="1:34" ht="11.25" customHeight="1" x14ac:dyDescent="0.2">
      <c r="B27" s="30" t="str">
        <f>ProcDataGenPre2012!B27</f>
        <v>ERHYD-E</v>
      </c>
      <c r="C27" s="30" t="str">
        <f>ProcDataGenPre2012!C27</f>
        <v>Hydro Existing South Africa</v>
      </c>
      <c r="D27" s="30" t="str">
        <f>ProcDataGenPre2012!D27</f>
        <v>PWRHYD</v>
      </c>
      <c r="E27" s="30" t="str">
        <f>ProcDataGenPre2012!E27</f>
        <v>ELCC</v>
      </c>
      <c r="G27" s="39">
        <f>ProcDataGenPre2012!Q27</f>
        <v>0</v>
      </c>
      <c r="H27" s="39"/>
      <c r="I27" s="39">
        <f>ProcDataGenPre2012!R27</f>
        <v>0.12001708037216328</v>
      </c>
      <c r="J27" s="39">
        <f>I27</f>
        <v>0.12001708037216328</v>
      </c>
      <c r="K27" s="39">
        <f>J27</f>
        <v>0.12001708037216328</v>
      </c>
      <c r="L27" s="47"/>
      <c r="N27" s="30">
        <f t="shared" si="4"/>
        <v>1</v>
      </c>
      <c r="O27" s="30" t="str">
        <f t="shared" si="18"/>
        <v/>
      </c>
      <c r="P27" s="30" t="str">
        <f t="shared" si="6"/>
        <v/>
      </c>
      <c r="Q27" s="30">
        <v>1</v>
      </c>
      <c r="V27" s="30">
        <f>ProcDataGenPre2012!AT27</f>
        <v>0.66500000000000004</v>
      </c>
      <c r="W27" s="39">
        <f t="shared" si="8"/>
        <v>0.66500000000000004</v>
      </c>
      <c r="X27" s="39">
        <f t="shared" si="9"/>
        <v>2.516931</v>
      </c>
      <c r="Y27" s="30" t="str">
        <f>""</f>
        <v/>
      </c>
      <c r="Z27" s="30" t="str">
        <f>""</f>
        <v/>
      </c>
      <c r="AA27" s="30">
        <v>1</v>
      </c>
      <c r="AB27" s="30" t="str">
        <f>""</f>
        <v/>
      </c>
      <c r="AC27" s="30" t="str">
        <f>""</f>
        <v/>
      </c>
      <c r="AF27" s="30">
        <v>1</v>
      </c>
      <c r="AG27" s="30" t="str">
        <f>""</f>
        <v/>
      </c>
      <c r="AH27" s="30" t="str">
        <f>""</f>
        <v/>
      </c>
    </row>
    <row r="28" spans="1:34" ht="11.25" customHeight="1" x14ac:dyDescent="0.2">
      <c r="B28" s="30" t="str">
        <f>ProcDataGenPre2012!B28</f>
        <v>ERHYD-I</v>
      </c>
      <c r="C28" s="30" t="str">
        <f>ProcDataGenPre2012!C28</f>
        <v>Hydro Existing Region</v>
      </c>
      <c r="E28" s="30" t="str">
        <f>ProcDataGenPre2012!E28</f>
        <v>ELCC</v>
      </c>
      <c r="G28" s="39">
        <f>ProcDataGenPre2012!Q28</f>
        <v>0</v>
      </c>
      <c r="H28" s="39"/>
      <c r="I28" s="39">
        <f>ProcDataGenPre2012!R28</f>
        <v>0.6898696347031964</v>
      </c>
      <c r="J28" s="39">
        <f>ProcDataGenPre2012!U28</f>
        <v>0</v>
      </c>
      <c r="K28" s="39">
        <f>ProcDataGenPre2012!Z28</f>
        <v>0</v>
      </c>
      <c r="L28" s="47"/>
      <c r="N28" s="30">
        <f t="shared" si="4"/>
        <v>1</v>
      </c>
      <c r="O28" s="30" t="str">
        <f t="shared" si="18"/>
        <v/>
      </c>
      <c r="P28" s="30" t="str">
        <f t="shared" si="6"/>
        <v/>
      </c>
      <c r="Q28" s="30">
        <v>0</v>
      </c>
      <c r="V28" s="30">
        <f>ProcDataGenPre2012!AT28</f>
        <v>1.5</v>
      </c>
      <c r="W28" s="39">
        <f t="shared" si="8"/>
        <v>1.5</v>
      </c>
      <c r="X28" s="39">
        <f t="shared" si="9"/>
        <v>32.6335932</v>
      </c>
      <c r="Y28" s="30" t="str">
        <f>""</f>
        <v/>
      </c>
      <c r="Z28" s="30" t="str">
        <f>""</f>
        <v/>
      </c>
      <c r="AA28" s="30">
        <v>1</v>
      </c>
      <c r="AB28" s="30" t="str">
        <f>""</f>
        <v/>
      </c>
      <c r="AC28" s="30" t="str">
        <f>""</f>
        <v/>
      </c>
      <c r="AF28" s="30">
        <v>1</v>
      </c>
      <c r="AG28" s="30" t="str">
        <f>""</f>
        <v/>
      </c>
      <c r="AH28" s="30" t="str">
        <f>""</f>
        <v/>
      </c>
    </row>
    <row r="29" spans="1:34" ht="11.25" customHeight="1" x14ac:dyDescent="0.2">
      <c r="B29" s="30" t="str">
        <f>ProcDataGenPre2012!B29</f>
        <v>ETNUC-E</v>
      </c>
      <c r="C29" s="30" t="str">
        <f>ProcDataGenPre2012!C29</f>
        <v>Nuclear Existing</v>
      </c>
      <c r="D29" s="30" t="str">
        <f>ProcDataGenPre2012!D29</f>
        <v>PWRNUC</v>
      </c>
      <c r="E29" s="30" t="str">
        <f>ProcDataGenPre2012!E29</f>
        <v>ELCC</v>
      </c>
      <c r="G29" s="39">
        <f>ProcDataGenPre2012!Q29</f>
        <v>0</v>
      </c>
      <c r="H29" s="39"/>
      <c r="I29" s="39">
        <f>ProcDataGenPre2012!R29</f>
        <v>0.92601880492954292</v>
      </c>
      <c r="J29" s="39">
        <f>ProcDataGenPre2012!U29</f>
        <v>0.84160000000000001</v>
      </c>
      <c r="K29" s="39">
        <f>J29</f>
        <v>0.84160000000000001</v>
      </c>
      <c r="L29" s="47"/>
      <c r="N29" s="30">
        <f t="shared" si="4"/>
        <v>1</v>
      </c>
      <c r="O29" s="30" t="str">
        <f t="shared" si="18"/>
        <v/>
      </c>
      <c r="P29" s="30" t="str">
        <f t="shared" si="6"/>
        <v/>
      </c>
      <c r="Q29" s="30">
        <v>1</v>
      </c>
      <c r="V29" s="30">
        <f>ProcDataGenPre2012!AT29</f>
        <v>1.86</v>
      </c>
      <c r="W29" s="39">
        <f t="shared" si="8"/>
        <v>1.86</v>
      </c>
      <c r="X29" s="39">
        <f t="shared" si="9"/>
        <v>54.317448000000006</v>
      </c>
      <c r="Y29" s="30" t="str">
        <f>""</f>
        <v/>
      </c>
      <c r="Z29" s="30" t="str">
        <f>""</f>
        <v/>
      </c>
      <c r="AA29" s="30">
        <v>1</v>
      </c>
      <c r="AB29" s="30" t="str">
        <f>""</f>
        <v/>
      </c>
      <c r="AC29" s="30" t="str">
        <f>""</f>
        <v/>
      </c>
      <c r="AF29" s="30">
        <v>1</v>
      </c>
      <c r="AG29" s="30" t="str">
        <f>""</f>
        <v/>
      </c>
      <c r="AH29" s="30" t="str">
        <f>""</f>
        <v/>
      </c>
    </row>
    <row r="30" spans="1:34" ht="11.25" customHeight="1" x14ac:dyDescent="0.2">
      <c r="B30" s="30" t="str">
        <f>ProcDataGenPre2012!B30</f>
        <v>EPTSTO-E</v>
      </c>
      <c r="C30" s="30" t="str">
        <f>ProcDataGenPre2012!C30</f>
        <v>Pump Storage All Existing - Single Storage Tech</v>
      </c>
      <c r="D30" s="30" t="str">
        <f>ProcDataGenPre2012!D30</f>
        <v>ELCC</v>
      </c>
      <c r="E30" s="30" t="str">
        <f>ProcDataGenPre2012!E30</f>
        <v>ELCC</v>
      </c>
      <c r="G30" s="334">
        <v>0</v>
      </c>
      <c r="H30" s="334">
        <v>0</v>
      </c>
      <c r="I30" s="334">
        <v>0</v>
      </c>
      <c r="J30" s="334">
        <v>0</v>
      </c>
      <c r="K30" s="334">
        <v>0</v>
      </c>
      <c r="L30" s="47"/>
      <c r="N30" s="30">
        <f t="shared" si="4"/>
        <v>1</v>
      </c>
      <c r="O30" s="30" t="str">
        <f t="shared" si="18"/>
        <v/>
      </c>
      <c r="P30" s="30" t="str">
        <f t="shared" si="6"/>
        <v/>
      </c>
      <c r="Q30" s="30">
        <v>1</v>
      </c>
      <c r="V30" s="30">
        <f>ProcDataGenPre2012!AT30</f>
        <v>1.58</v>
      </c>
      <c r="W30" s="39">
        <f t="shared" si="8"/>
        <v>1.58</v>
      </c>
      <c r="X30" s="39">
        <f t="shared" si="9"/>
        <v>0</v>
      </c>
      <c r="Y30" s="30" t="str">
        <f>""</f>
        <v/>
      </c>
      <c r="Z30" s="30" t="str">
        <f>""</f>
        <v/>
      </c>
      <c r="AA30" s="30">
        <v>1</v>
      </c>
      <c r="AB30" s="30" t="str">
        <f>""</f>
        <v/>
      </c>
      <c r="AC30" s="30" t="str">
        <f>""</f>
        <v/>
      </c>
      <c r="AF30" s="30">
        <v>1</v>
      </c>
      <c r="AG30" s="30" t="str">
        <f>""</f>
        <v/>
      </c>
      <c r="AH30" s="30" t="str">
        <f>""</f>
        <v/>
      </c>
    </row>
    <row r="31" spans="1:34" ht="11.25" customHeight="1" x14ac:dyDescent="0.2">
      <c r="A31" s="33" t="str">
        <f>ProcDataGen2012On!A8</f>
        <v>* New Power Plants - Grid</v>
      </c>
      <c r="L31" s="47"/>
      <c r="N31" s="30" t="str">
        <f t="shared" si="4"/>
        <v/>
      </c>
      <c r="O31" s="30" t="str">
        <f t="shared" si="18"/>
        <v/>
      </c>
      <c r="P31" s="30" t="str">
        <f t="shared" si="6"/>
        <v/>
      </c>
      <c r="W31" s="39"/>
      <c r="Y31" s="30" t="str">
        <f>""</f>
        <v/>
      </c>
      <c r="Z31" s="30" t="str">
        <f>""</f>
        <v/>
      </c>
      <c r="AA31" s="30" t="str">
        <f>""</f>
        <v/>
      </c>
      <c r="AB31" s="30" t="str">
        <f>""</f>
        <v/>
      </c>
      <c r="AC31" s="30" t="str">
        <f>""</f>
        <v/>
      </c>
      <c r="AF31" s="30" t="str">
        <f>""</f>
        <v/>
      </c>
      <c r="AG31" s="30" t="str">
        <f>""</f>
        <v/>
      </c>
      <c r="AH31" s="30" t="str">
        <f>""</f>
        <v/>
      </c>
    </row>
    <row r="32" spans="1:34" ht="11.25" customHeight="1" x14ac:dyDescent="0.2">
      <c r="B32" s="30" t="str">
        <f>ProcDataGen2012On!B9</f>
        <v>ETCLEMEDU-N</v>
      </c>
      <c r="C32" s="30" t="str">
        <f>ProcDataGen2012On!C9</f>
        <v>MEDUPI</v>
      </c>
      <c r="D32" s="30" t="str">
        <f>ProcDataGen2012On!D9</f>
        <v>PWRCLEMEDU</v>
      </c>
      <c r="E32" s="30" t="str">
        <f>ProcDataGen2012On!E8</f>
        <v>ELCC</v>
      </c>
      <c r="F32" s="30">
        <f>V32/0.722</f>
        <v>7.0000000000000009</v>
      </c>
      <c r="G32" s="39">
        <f>ProcDataGen2012On!V9</f>
        <v>0</v>
      </c>
      <c r="H32" s="39">
        <f>ProcDataGen2012On!W9</f>
        <v>0.8</v>
      </c>
      <c r="I32" s="39">
        <f>IF($G$4="LEAF",ProcDataLowEAF!H24,ProcDataGen2012On!X9)</f>
        <v>0.74883599999999995</v>
      </c>
      <c r="J32" s="39">
        <f>IF($G$4="LEAF",ProcDataLowEAF!M24,ProcDataGen2012On!AC9)</f>
        <v>0.56920500000000007</v>
      </c>
      <c r="K32" s="39">
        <f>IF($G$4="LEAF",ProcDataLowEAF!R24,ProcDataGen2012On!AH9)</f>
        <v>0.50662499999999999</v>
      </c>
      <c r="L32" s="47">
        <v>1</v>
      </c>
      <c r="N32" s="30">
        <f t="shared" si="4"/>
        <v>0.85714285714285721</v>
      </c>
      <c r="O32" s="30">
        <f t="shared" si="18"/>
        <v>0.9285714285714286</v>
      </c>
      <c r="P32" s="30">
        <f t="shared" si="6"/>
        <v>1</v>
      </c>
      <c r="R32" s="30">
        <f t="shared" ref="R32:T33" si="19">N32</f>
        <v>0.85714285714285721</v>
      </c>
      <c r="S32" s="30">
        <f t="shared" si="19"/>
        <v>0.9285714285714286</v>
      </c>
      <c r="T32" s="30">
        <f t="shared" si="19"/>
        <v>1</v>
      </c>
      <c r="V32" s="30">
        <f>SUM(ProcDataGen2012On!AU9:BD9)</f>
        <v>5.0540000000000003</v>
      </c>
      <c r="W32" s="39">
        <f t="shared" ref="W32:W44" si="20">N32*V32</f>
        <v>4.3320000000000007</v>
      </c>
      <c r="X32" s="39">
        <f t="shared" ref="X32:X44" si="21">I32*V32*31.536</f>
        <v>119.351686253184</v>
      </c>
      <c r="Y32" s="395">
        <v>1</v>
      </c>
      <c r="Z32" s="30" t="str">
        <f>""</f>
        <v/>
      </c>
      <c r="AA32" s="30">
        <f t="shared" ref="AA32:AA33" si="22">1-Y32/$F32</f>
        <v>0.85714285714285721</v>
      </c>
      <c r="AB32" s="30">
        <v>1</v>
      </c>
      <c r="AC32" s="30">
        <v>1</v>
      </c>
      <c r="AD32" s="395">
        <v>1</v>
      </c>
      <c r="AF32" s="30">
        <f t="shared" ref="AF32:AF33" si="23">1-AD32/$F32</f>
        <v>0.85714285714285721</v>
      </c>
      <c r="AG32" s="30">
        <f>(AB32+AF32)/2</f>
        <v>0.9285714285714286</v>
      </c>
      <c r="AH32" s="30">
        <v>1</v>
      </c>
    </row>
    <row r="33" spans="2:34" ht="11.25" customHeight="1" x14ac:dyDescent="0.2">
      <c r="B33" s="30" t="str">
        <f>ProcDataGen2012On!B10</f>
        <v>ETCLEKUSI-N</v>
      </c>
      <c r="C33" s="30" t="str">
        <f>ProcDataGen2012On!C10</f>
        <v>KUSILE</v>
      </c>
      <c r="D33" s="30" t="str">
        <f>ProcDataGen2012On!D10</f>
        <v>PWRCLEKUSI</v>
      </c>
      <c r="E33" s="30" t="str">
        <f>ProcDataGen2012On!E9</f>
        <v>ELCC</v>
      </c>
      <c r="F33" s="30">
        <f>V33/0.722</f>
        <v>3.9390581717451525</v>
      </c>
      <c r="G33" s="39">
        <f>ProcDataGen2012On!V10</f>
        <v>0</v>
      </c>
      <c r="H33" s="39">
        <f>ProcDataGen2012On!W10</f>
        <v>0.55218394942432913</v>
      </c>
      <c r="I33" s="39">
        <f>IF($G$4="LEAF",ProcDataLowEAF!H25,ProcDataGen2012On!X10)</f>
        <v>0.71279999999999999</v>
      </c>
      <c r="J33" s="39">
        <f>IF($G$4="LEAF",ProcDataLowEAF!M25,ProcDataGen2012On!AC10)</f>
        <v>0.57796200000000009</v>
      </c>
      <c r="K33" s="39">
        <f>IF($G$4="LEAF",ProcDataLowEAF!R25,ProcDataGen2012On!AH10)</f>
        <v>0.49637500000000001</v>
      </c>
      <c r="L33" s="47">
        <v>1</v>
      </c>
      <c r="N33" s="30">
        <f t="shared" si="4"/>
        <v>0.74613220815752457</v>
      </c>
      <c r="O33" s="30">
        <f t="shared" si="18"/>
        <v>0.8</v>
      </c>
      <c r="P33" s="30">
        <f t="shared" si="6"/>
        <v>1</v>
      </c>
      <c r="R33" s="30">
        <f t="shared" si="19"/>
        <v>0.74613220815752457</v>
      </c>
      <c r="S33" s="30">
        <f t="shared" si="19"/>
        <v>0.8</v>
      </c>
      <c r="T33" s="30">
        <f t="shared" si="19"/>
        <v>1</v>
      </c>
      <c r="V33" s="30">
        <f>SUM(ProcDataGen2012On!AU10:BD10)</f>
        <v>2.8439999999999999</v>
      </c>
      <c r="W33" s="39">
        <f t="shared" si="20"/>
        <v>2.1219999999999999</v>
      </c>
      <c r="X33" s="39">
        <f t="shared" si="21"/>
        <v>63.929880115199992</v>
      </c>
      <c r="Y33" s="395">
        <v>1</v>
      </c>
      <c r="Z33" s="30" t="str">
        <f>""</f>
        <v/>
      </c>
      <c r="AA33" s="30">
        <f t="shared" si="22"/>
        <v>0.74613220815752457</v>
      </c>
      <c r="AB33" s="30">
        <v>0.8</v>
      </c>
      <c r="AC33" s="30">
        <v>1</v>
      </c>
      <c r="AD33" s="395">
        <v>1</v>
      </c>
      <c r="AF33" s="30">
        <f t="shared" si="23"/>
        <v>0.74613220815752457</v>
      </c>
      <c r="AG33" s="30">
        <v>0.8</v>
      </c>
      <c r="AH33" s="30">
        <v>1</v>
      </c>
    </row>
    <row r="34" spans="2:34" ht="11.25" customHeight="1" x14ac:dyDescent="0.2">
      <c r="B34" s="30" t="str">
        <f>ProcDataGen2012On!B11</f>
        <v>ETCLEWATE-N</v>
      </c>
      <c r="C34" s="30" t="str">
        <f>ProcDataGen2012On!C11</f>
        <v>Generic Waterberg Coal Plant</v>
      </c>
      <c r="D34" s="30" t="str">
        <f>ProcDataGen2012On!D11</f>
        <v>PWRCLEMEDU</v>
      </c>
      <c r="E34" s="30" t="str">
        <f>ProcDataGen2012On!E10</f>
        <v>ELCC</v>
      </c>
      <c r="G34" s="39">
        <f>ProcDataGen2012On!T11</f>
        <v>0</v>
      </c>
      <c r="H34" s="39">
        <f>ProcDataGen2012On!U11</f>
        <v>0</v>
      </c>
      <c r="I34" s="39">
        <f>ProcDataGen2012On!V11</f>
        <v>0.8</v>
      </c>
      <c r="J34" s="39">
        <f>ProcDataGen2012On!W11</f>
        <v>0</v>
      </c>
      <c r="K34" s="39">
        <f>ProcDataGen2012On!X11</f>
        <v>0</v>
      </c>
      <c r="N34" s="30">
        <v>1</v>
      </c>
      <c r="Q34" s="30">
        <v>1</v>
      </c>
      <c r="V34" s="30">
        <f>SUM(ProcDataGen2012On!AU11:BD11)</f>
        <v>0</v>
      </c>
      <c r="W34" s="39">
        <f t="shared" si="20"/>
        <v>0</v>
      </c>
      <c r="X34" s="39">
        <f t="shared" si="21"/>
        <v>0</v>
      </c>
      <c r="Z34" s="30" t="str">
        <f>""</f>
        <v/>
      </c>
      <c r="AA34" s="30">
        <v>1</v>
      </c>
      <c r="AF34" s="30">
        <v>1</v>
      </c>
    </row>
    <row r="35" spans="2:34" ht="11.25" customHeight="1" x14ac:dyDescent="0.2">
      <c r="B35" s="30" t="str">
        <f>ProcDataGen2012On!B12</f>
        <v>ETCLE-CCS-N</v>
      </c>
      <c r="C35" s="30" t="str">
        <f>ProcDataGen2012On!C12</f>
        <v>Generic Waterberg Coal Plant with CCS</v>
      </c>
      <c r="D35" s="30" t="str">
        <f>ProcDataGen2012On!D12</f>
        <v>PWRCLEMEDU</v>
      </c>
      <c r="E35" s="30" t="str">
        <f>ProcDataGen2012On!E12</f>
        <v>ELCC</v>
      </c>
      <c r="G35" s="39">
        <f>ProcDataGen2012On!T12</f>
        <v>0</v>
      </c>
      <c r="H35" s="39">
        <f>ProcDataGen2012On!U12</f>
        <v>0</v>
      </c>
      <c r="I35" s="39">
        <f>ProcDataGen2012On!V12</f>
        <v>0.8</v>
      </c>
      <c r="J35" s="39">
        <f>ProcDataGen2012On!W12</f>
        <v>0</v>
      </c>
      <c r="K35" s="39">
        <f>ProcDataGen2012On!X12</f>
        <v>0</v>
      </c>
      <c r="N35" s="30">
        <v>1</v>
      </c>
      <c r="Q35" s="30">
        <v>1</v>
      </c>
      <c r="V35" s="30">
        <f>SUM(ProcDataGen2012On!AU12:BD12)</f>
        <v>0</v>
      </c>
      <c r="W35" s="39">
        <f>N35*V35</f>
        <v>0</v>
      </c>
      <c r="X35" s="39">
        <f>I35*V35*31.536</f>
        <v>0</v>
      </c>
      <c r="Z35" s="30" t="str">
        <f>""</f>
        <v/>
      </c>
      <c r="AA35" s="30">
        <v>1</v>
      </c>
      <c r="AF35" s="30">
        <v>1</v>
      </c>
    </row>
    <row r="36" spans="2:34" ht="11.25" customHeight="1" x14ac:dyDescent="0.2">
      <c r="B36" s="30" t="str">
        <f>ProcDataGen2012On!B13</f>
        <v>EPTSTO-N</v>
      </c>
      <c r="C36" s="30" t="str">
        <f>ProcDataGen2012On!C13</f>
        <v>Pumped Storage New Ingula - Single Storage Tech</v>
      </c>
      <c r="D36" s="30" t="str">
        <f>ProcDataGen2012On!D13</f>
        <v>ELCC</v>
      </c>
      <c r="E36" s="30" t="str">
        <f>ProcDataGen2012On!E13</f>
        <v>ELCC</v>
      </c>
      <c r="G36" s="334">
        <v>0</v>
      </c>
      <c r="H36" s="334">
        <v>0</v>
      </c>
      <c r="I36" s="334">
        <v>0</v>
      </c>
      <c r="J36" s="334">
        <v>0</v>
      </c>
      <c r="K36" s="334">
        <v>0</v>
      </c>
      <c r="N36" s="30">
        <v>1</v>
      </c>
      <c r="Q36" s="30">
        <v>1</v>
      </c>
      <c r="V36" s="30">
        <f>SUM(ProcDataGen2012On!AU13:BD13)</f>
        <v>2.64</v>
      </c>
      <c r="W36" s="39">
        <f t="shared" si="20"/>
        <v>2.64</v>
      </c>
      <c r="X36" s="39">
        <f t="shared" si="21"/>
        <v>0</v>
      </c>
      <c r="Z36" s="30" t="str">
        <f>""</f>
        <v/>
      </c>
      <c r="AA36" s="30">
        <v>1</v>
      </c>
      <c r="AF36" s="30">
        <v>1</v>
      </c>
    </row>
    <row r="37" spans="2:34" ht="11.25" customHeight="1" x14ac:dyDescent="0.2">
      <c r="B37" s="30" t="str">
        <f>ProcDataGen2012On!B14</f>
        <v>ETODSGT-N</v>
      </c>
      <c r="C37" s="30" t="str">
        <f>ProcDataGen2012On!C14</f>
        <v>DOE Peakers</v>
      </c>
      <c r="D37" s="30" t="str">
        <f>ProcDataGen2012On!D14</f>
        <v>PWRODS</v>
      </c>
      <c r="E37" s="30" t="str">
        <f>ProcDataGen2012On!E14</f>
        <v>ELCC</v>
      </c>
      <c r="G37" s="323">
        <v>0.05</v>
      </c>
      <c r="H37" s="323">
        <v>0.05</v>
      </c>
      <c r="I37" s="323">
        <v>0.05</v>
      </c>
      <c r="J37" s="323">
        <v>0.05</v>
      </c>
      <c r="K37" s="323">
        <v>0.05</v>
      </c>
      <c r="N37" s="30">
        <v>1</v>
      </c>
      <c r="Q37" s="30">
        <v>1</v>
      </c>
      <c r="V37" s="30">
        <f>SUM(ProcDataGen2012On!AU14:BD14)</f>
        <v>2.0100000000000002</v>
      </c>
      <c r="W37" s="39">
        <f t="shared" si="20"/>
        <v>2.0100000000000002</v>
      </c>
      <c r="X37" s="39">
        <f t="shared" si="21"/>
        <v>3.1693680000000009</v>
      </c>
      <c r="Z37" s="30" t="str">
        <f>""</f>
        <v/>
      </c>
      <c r="AA37" s="30">
        <v>1</v>
      </c>
      <c r="AF37" s="30">
        <v>1</v>
      </c>
    </row>
    <row r="38" spans="2:34" ht="11.25" customHeight="1" x14ac:dyDescent="0.2">
      <c r="B38" s="30" t="str">
        <f>ProcDataGen2012On!B15</f>
        <v>ETCLDFB-N</v>
      </c>
      <c r="C38" s="30" t="str">
        <f>ProcDataGen2012On!C15</f>
        <v>Fluidised Bed Combustion Coal</v>
      </c>
      <c r="D38" s="30" t="str">
        <f>ProcDataGen2012On!D15</f>
        <v>PWRCLD</v>
      </c>
      <c r="E38" s="30" t="str">
        <f>ProcDataGen2012On!E15</f>
        <v>ELCC</v>
      </c>
      <c r="G38" s="39">
        <f>ProcDataGen2012On!T15</f>
        <v>0</v>
      </c>
      <c r="H38" s="39">
        <f>ProcDataGen2012On!U15</f>
        <v>0</v>
      </c>
      <c r="I38" s="39">
        <f>ProcDataGen2012On!V15</f>
        <v>0.8</v>
      </c>
      <c r="J38" s="39">
        <f>I38</f>
        <v>0.8</v>
      </c>
      <c r="K38" s="39">
        <f>J38</f>
        <v>0.8</v>
      </c>
      <c r="N38" s="30">
        <v>1</v>
      </c>
      <c r="Q38" s="30">
        <v>1</v>
      </c>
      <c r="V38" s="30">
        <f>SUM(ProcDataGen2012On!AU15:BD15)</f>
        <v>0</v>
      </c>
      <c r="W38" s="39">
        <f t="shared" si="20"/>
        <v>0</v>
      </c>
      <c r="X38" s="39">
        <f t="shared" si="21"/>
        <v>0</v>
      </c>
      <c r="Z38" s="30" t="str">
        <f>""</f>
        <v/>
      </c>
      <c r="AA38" s="30">
        <v>1</v>
      </c>
      <c r="AF38" s="30">
        <v>1</v>
      </c>
    </row>
    <row r="39" spans="2:34" ht="11.25" customHeight="1" x14ac:dyDescent="0.2">
      <c r="B39" s="30" t="str">
        <f>ProcDataGen2012On!B16</f>
        <v>ERHYD-N</v>
      </c>
      <c r="C39" s="30" t="str">
        <f>ProcDataGen2012On!C16</f>
        <v>Micro hydro</v>
      </c>
      <c r="D39" s="30" t="str">
        <f>ProcDataGen2012On!D16</f>
        <v>PWRHYD</v>
      </c>
      <c r="E39" s="30" t="str">
        <f>ProcDataGen2012On!E16</f>
        <v>ELCC</v>
      </c>
      <c r="N39" s="30">
        <v>0</v>
      </c>
      <c r="Q39" s="30">
        <v>1</v>
      </c>
      <c r="V39" s="30">
        <f>SUM(ProcDataGen2012On!AU16:BD16)</f>
        <v>4.4999999999999997E-3</v>
      </c>
      <c r="W39" s="39">
        <f t="shared" si="20"/>
        <v>0</v>
      </c>
      <c r="X39" s="39">
        <f t="shared" si="21"/>
        <v>0</v>
      </c>
      <c r="Z39" s="30" t="str">
        <f>""</f>
        <v/>
      </c>
      <c r="AA39" s="30">
        <v>0</v>
      </c>
      <c r="AF39" s="30">
        <v>0</v>
      </c>
    </row>
    <row r="40" spans="2:34" ht="11.25" customHeight="1" x14ac:dyDescent="0.2">
      <c r="B40" s="30" t="str">
        <f>ProcDataGen2012On!B17</f>
        <v>ETNUC-N</v>
      </c>
      <c r="C40" s="30" t="str">
        <f>ProcDataGen2012On!C17</f>
        <v>Nuclear Mid</v>
      </c>
      <c r="D40" s="30" t="str">
        <f>ProcDataGen2012On!D17</f>
        <v>PWRNUC</v>
      </c>
      <c r="E40" s="30" t="str">
        <f>ProcDataGen2012On!E17</f>
        <v>ELCC</v>
      </c>
      <c r="G40" s="39">
        <f>ProcDataGen2012On!T17</f>
        <v>0</v>
      </c>
      <c r="H40" s="39">
        <f>ProcDataGen2012On!U17</f>
        <v>0</v>
      </c>
      <c r="I40" s="39">
        <f>ProcDataGen2012On!V17</f>
        <v>0.85</v>
      </c>
      <c r="J40" s="39">
        <f t="shared" ref="J40:K43" si="24">I40</f>
        <v>0.85</v>
      </c>
      <c r="K40" s="39">
        <f t="shared" si="24"/>
        <v>0.85</v>
      </c>
      <c r="N40" s="30">
        <v>1</v>
      </c>
      <c r="Q40" s="30">
        <v>1</v>
      </c>
      <c r="V40" s="30">
        <f>SUM(ProcDataGen2012On!AU17:BD17)</f>
        <v>0</v>
      </c>
      <c r="W40" s="39">
        <f t="shared" si="20"/>
        <v>0</v>
      </c>
      <c r="X40" s="39">
        <f t="shared" si="21"/>
        <v>0</v>
      </c>
      <c r="Z40" s="30" t="str">
        <f>""</f>
        <v/>
      </c>
      <c r="AA40" s="30">
        <v>1</v>
      </c>
      <c r="AF40" s="30">
        <v>1</v>
      </c>
    </row>
    <row r="41" spans="2:34" ht="11.25" customHeight="1" x14ac:dyDescent="0.2">
      <c r="B41" s="30" t="str">
        <f>ProcDataGen2012On!B18</f>
        <v>ERSOLTC09-N</v>
      </c>
      <c r="C41" s="30" t="str">
        <f>ProcDataGen2012On!C18</f>
        <v>Solar Central Receiver 09 hrs storage</v>
      </c>
      <c r="D41" s="30" t="str">
        <f>ProcDataGen2012On!D18</f>
        <v>PWRSOL</v>
      </c>
      <c r="E41" s="30" t="str">
        <f>ProcDataGen2012On!E18</f>
        <v>ELCC</v>
      </c>
      <c r="G41" s="39">
        <f>ProcDataRECostProfiles!M9</f>
        <v>0</v>
      </c>
      <c r="H41" s="39">
        <f>ProcDataRECostProfiles!N9</f>
        <v>0</v>
      </c>
      <c r="I41" s="39">
        <f>ProcDataRECostProfiles!O9</f>
        <v>0.46798025400000004</v>
      </c>
      <c r="J41" s="39">
        <f t="shared" si="24"/>
        <v>0.46798025400000004</v>
      </c>
      <c r="K41" s="39">
        <f t="shared" si="24"/>
        <v>0.46798025400000004</v>
      </c>
      <c r="Q41" s="30">
        <v>0.5</v>
      </c>
      <c r="W41" s="39">
        <f t="shared" si="20"/>
        <v>0</v>
      </c>
      <c r="X41" s="39">
        <f t="shared" si="21"/>
        <v>0</v>
      </c>
      <c r="Z41" s="30" t="str">
        <f>""</f>
        <v/>
      </c>
    </row>
    <row r="42" spans="2:34" ht="11.25" customHeight="1" x14ac:dyDescent="0.2">
      <c r="B42" s="30" t="str">
        <f>ProcDataGen2012On!B19</f>
        <v>ERSOLPCF-N</v>
      </c>
      <c r="C42" s="30" t="str">
        <f>ProcDataGen2012On!C19</f>
        <v>Solar PV Fixed</v>
      </c>
      <c r="D42" s="30" t="str">
        <f>ProcDataGen2012On!D19</f>
        <v>PWRSOL</v>
      </c>
      <c r="E42" s="30" t="str">
        <f>ProcDataGen2012On!E19</f>
        <v>ELCC</v>
      </c>
      <c r="G42" s="39">
        <f>ProcDataRECostProfiles!M10</f>
        <v>0</v>
      </c>
      <c r="H42" s="39">
        <f>ProcDataRECostProfiles!N10</f>
        <v>0.93805309734513287</v>
      </c>
      <c r="I42" s="39">
        <f>ProcDataRECostProfiles!O10</f>
        <v>0.250001421</v>
      </c>
      <c r="J42" s="39">
        <f t="shared" si="24"/>
        <v>0.250001421</v>
      </c>
      <c r="K42" s="39">
        <f t="shared" si="24"/>
        <v>0.250001421</v>
      </c>
      <c r="Q42" s="30">
        <v>0</v>
      </c>
      <c r="W42" s="39">
        <f t="shared" si="20"/>
        <v>0</v>
      </c>
      <c r="X42" s="39">
        <f t="shared" si="21"/>
        <v>0</v>
      </c>
      <c r="Z42" s="30" t="str">
        <f>""</f>
        <v/>
      </c>
    </row>
    <row r="43" spans="2:34" ht="11.25" customHeight="1" x14ac:dyDescent="0.2">
      <c r="B43" s="30" t="str">
        <f>ProcDataGen2012On!B20</f>
        <v>ERSOLPCT-N</v>
      </c>
      <c r="C43" s="30" t="str">
        <f>ProcDataGen2012On!C20</f>
        <v>Solar PV tracking</v>
      </c>
      <c r="D43" s="30" t="str">
        <f>ProcDataGen2012On!D20</f>
        <v>PWRSOL</v>
      </c>
      <c r="E43" s="30" t="str">
        <f>ProcDataGen2012On!E20</f>
        <v>ELCC</v>
      </c>
      <c r="G43" s="39">
        <f>ProcDataRECostProfiles!M11</f>
        <v>0</v>
      </c>
      <c r="H43" s="39">
        <f>ProcDataRECostProfiles!N11</f>
        <v>0</v>
      </c>
      <c r="I43" s="39">
        <f>ProcDataRECostProfiles!O11</f>
        <v>0.28000044900000004</v>
      </c>
      <c r="J43" s="39">
        <f t="shared" si="24"/>
        <v>0.28000044900000004</v>
      </c>
      <c r="K43" s="39">
        <f t="shared" si="24"/>
        <v>0.28000044900000004</v>
      </c>
      <c r="Q43" s="30">
        <v>0</v>
      </c>
      <c r="W43" s="39">
        <f t="shared" si="20"/>
        <v>0</v>
      </c>
      <c r="X43" s="39">
        <f t="shared" si="21"/>
        <v>0</v>
      </c>
      <c r="Z43" s="30" t="str">
        <f>""</f>
        <v/>
      </c>
    </row>
    <row r="44" spans="2:34" ht="11.25" customHeight="1" x14ac:dyDescent="0.2">
      <c r="B44" s="30" t="str">
        <f>ProcDataGen2012On!B21</f>
        <v>ERWNDH-N</v>
      </c>
      <c r="C44" s="30" t="str">
        <f>ProcDataGen2012On!C21</f>
        <v>Wind</v>
      </c>
      <c r="D44" s="30" t="str">
        <f>ProcDataGen2012On!D21</f>
        <v>PWRWND</v>
      </c>
      <c r="E44" s="30" t="str">
        <f>ProcDataGen2012On!E21</f>
        <v>ELCC</v>
      </c>
      <c r="G44" s="39">
        <f>ProcDataRECostProfiles!V12</f>
        <v>0</v>
      </c>
      <c r="H44" s="39">
        <f>ProcDataRECostProfiles!W12</f>
        <v>0</v>
      </c>
      <c r="I44" s="39">
        <f>ProcDataRECostProfiles!X12</f>
        <v>0</v>
      </c>
      <c r="J44" s="39">
        <f>(I44+K44)/2</f>
        <v>0</v>
      </c>
      <c r="K44" s="39">
        <f>ProcDataRECostProfiles!AG12</f>
        <v>0</v>
      </c>
      <c r="Q44" s="30">
        <v>0</v>
      </c>
      <c r="W44" s="39">
        <f t="shared" si="20"/>
        <v>0</v>
      </c>
      <c r="X44" s="39">
        <f t="shared" si="21"/>
        <v>0</v>
      </c>
      <c r="Z44" s="30" t="str">
        <f>""</f>
        <v/>
      </c>
    </row>
    <row r="45" spans="2:34" ht="11.25" customHeight="1" x14ac:dyDescent="0.2">
      <c r="B45" s="30" t="str">
        <f>ProcDataGen2012On!B22</f>
        <v>ERHYDGIW-I</v>
      </c>
      <c r="C45" s="30" t="str">
        <f>ProcDataGen2012On!C22</f>
        <v>Imports from Region</v>
      </c>
      <c r="E45" s="30" t="str">
        <f>ProcDataGen2012On!E22</f>
        <v>ELCC</v>
      </c>
      <c r="G45" s="39">
        <f>ProcDataGen2012On!T22</f>
        <v>0</v>
      </c>
      <c r="H45" s="39">
        <f>ProcDataGen2012On!U22</f>
        <v>0</v>
      </c>
      <c r="I45" s="39">
        <f>ProcDataGen2012On!V22</f>
        <v>0.78</v>
      </c>
      <c r="J45" s="39">
        <f>I45</f>
        <v>0.78</v>
      </c>
      <c r="K45" s="39">
        <f>J45</f>
        <v>0.78</v>
      </c>
      <c r="N45" s="30">
        <v>1</v>
      </c>
      <c r="Q45" s="30">
        <v>0</v>
      </c>
      <c r="Z45" s="30" t="str">
        <f>""</f>
        <v/>
      </c>
      <c r="AA45" s="30">
        <v>1</v>
      </c>
      <c r="AF45" s="30">
        <v>1</v>
      </c>
    </row>
    <row r="46" spans="2:34" ht="11.25" customHeight="1" x14ac:dyDescent="0.2">
      <c r="B46" s="30" t="str">
        <f>ProcDataGen2012On!B23</f>
        <v>ETGICGT-N</v>
      </c>
      <c r="C46" s="30" t="str">
        <f>ProcDataGen2012On!C23</f>
        <v>Open Cycle Gas Turbine - LNG</v>
      </c>
      <c r="D46" s="30" t="str">
        <f>ProcDataGen2012On!D23</f>
        <v>PWRGIC</v>
      </c>
      <c r="E46" s="30" t="str">
        <f>ProcDataGen2012On!E23</f>
        <v>ELCC</v>
      </c>
      <c r="G46" s="30">
        <v>0.1</v>
      </c>
      <c r="H46" s="30">
        <v>0.1</v>
      </c>
      <c r="I46" s="30">
        <v>0.1</v>
      </c>
      <c r="J46" s="30">
        <v>0.1</v>
      </c>
      <c r="K46" s="30">
        <v>0.1</v>
      </c>
      <c r="N46" s="30">
        <v>1</v>
      </c>
      <c r="Q46" s="30">
        <v>1</v>
      </c>
      <c r="Z46" s="30" t="str">
        <f>""</f>
        <v/>
      </c>
      <c r="AA46" s="30">
        <v>1</v>
      </c>
      <c r="AF46" s="30">
        <v>1</v>
      </c>
    </row>
    <row r="47" spans="2:34" ht="11.25" customHeight="1" x14ac:dyDescent="0.2">
      <c r="B47" s="30" t="str">
        <f>ProcDataGen2012On!B24</f>
        <v>ETHGNGT-N</v>
      </c>
      <c r="C47" s="30" t="str">
        <f>ProcDataGen2012On!C24</f>
        <v>Hydrogen Turbine or FuelCell</v>
      </c>
      <c r="D47" s="30" t="str">
        <f>ProcDataGen2012On!D24</f>
        <v>PWRHGN</v>
      </c>
      <c r="E47" s="30" t="str">
        <f>ProcDataGen2012On!E24</f>
        <v>ELCC</v>
      </c>
      <c r="G47" s="30">
        <v>0.1</v>
      </c>
      <c r="H47" s="30">
        <v>0.1</v>
      </c>
      <c r="I47" s="30">
        <v>0.1</v>
      </c>
      <c r="J47" s="30">
        <v>0.1</v>
      </c>
      <c r="K47" s="30">
        <v>0.1</v>
      </c>
      <c r="N47" s="30">
        <v>1</v>
      </c>
      <c r="Q47" s="30">
        <v>1</v>
      </c>
      <c r="Z47" s="30" t="str">
        <f>""</f>
        <v/>
      </c>
      <c r="AA47" s="30">
        <v>1</v>
      </c>
      <c r="AF47" s="30">
        <v>1</v>
      </c>
    </row>
    <row r="48" spans="2:34" ht="11.25" customHeight="1" x14ac:dyDescent="0.2">
      <c r="B48" s="30" t="str">
        <f>ProcDataGen2012On!B25</f>
        <v>ETGICCC-N</v>
      </c>
      <c r="C48" s="30" t="str">
        <f>ProcDataGen2012On!C25</f>
        <v>Combined Cycle Gas Turbine - LNG</v>
      </c>
      <c r="D48" s="30" t="str">
        <f>ProcDataGen2012On!D25</f>
        <v>PWRGIC</v>
      </c>
      <c r="E48" s="30" t="str">
        <f>ProcDataGen2012On!E25</f>
        <v>ELCC</v>
      </c>
      <c r="G48" s="30">
        <v>0.5</v>
      </c>
      <c r="H48" s="30">
        <v>0.5</v>
      </c>
      <c r="I48" s="30">
        <v>0.5</v>
      </c>
      <c r="J48" s="30">
        <v>0.5</v>
      </c>
      <c r="K48" s="30">
        <v>0.5</v>
      </c>
      <c r="N48" s="30">
        <v>1</v>
      </c>
      <c r="Q48" s="30">
        <v>1</v>
      </c>
      <c r="Z48" s="30" t="str">
        <f>""</f>
        <v/>
      </c>
      <c r="AA48" s="30">
        <v>1</v>
      </c>
      <c r="AF48" s="30">
        <v>1</v>
      </c>
    </row>
    <row r="49" spans="1:32" ht="11.25" customHeight="1" x14ac:dyDescent="0.2">
      <c r="B49" s="30" t="str">
        <f>ProcDataGen2012On!B26</f>
        <v>ETGICCC-CCS-N</v>
      </c>
      <c r="C49" s="30" t="str">
        <f>ProcDataGen2012On!C26</f>
        <v>Combined Cycle Gas Turbine - LNG with CCS</v>
      </c>
      <c r="D49" s="30" t="str">
        <f>ProcDataGen2012On!D26</f>
        <v>PWRGIC</v>
      </c>
      <c r="E49" s="30" t="str">
        <f>ProcDataGen2012On!E26</f>
        <v>ELCC</v>
      </c>
      <c r="G49" s="30">
        <v>0.5</v>
      </c>
      <c r="H49" s="30">
        <v>0.5</v>
      </c>
      <c r="I49" s="30">
        <v>0.5</v>
      </c>
      <c r="J49" s="30">
        <v>0.5</v>
      </c>
      <c r="K49" s="30">
        <v>0.5</v>
      </c>
      <c r="N49" s="30">
        <v>1</v>
      </c>
      <c r="Q49" s="30">
        <v>1</v>
      </c>
      <c r="Z49" s="30" t="str">
        <f>""</f>
        <v/>
      </c>
      <c r="AA49" s="30">
        <v>1</v>
      </c>
      <c r="AF49" s="30">
        <v>1</v>
      </c>
    </row>
    <row r="50" spans="1:32" ht="11.25" customHeight="1" x14ac:dyDescent="0.2">
      <c r="B50" s="30" t="str">
        <f>ProcDataGen2012On!B27</f>
        <v>ETGICEN-N</v>
      </c>
      <c r="C50" s="30" t="str">
        <f>ProcDataGen2012On!C27</f>
        <v>Gas Engines - LNG</v>
      </c>
      <c r="D50" s="30" t="str">
        <f>ProcDataGen2012On!D27</f>
        <v>PWRGIC</v>
      </c>
      <c r="E50" s="30" t="str">
        <f>ProcDataGen2012On!E27</f>
        <v>ELCC</v>
      </c>
      <c r="G50" s="30">
        <v>0.5</v>
      </c>
      <c r="H50" s="30">
        <v>0.5</v>
      </c>
      <c r="I50" s="30">
        <v>0.5</v>
      </c>
      <c r="J50" s="30">
        <v>0.5</v>
      </c>
      <c r="K50" s="30">
        <v>0.5</v>
      </c>
      <c r="N50" s="30">
        <v>1</v>
      </c>
      <c r="Q50" s="30">
        <v>1</v>
      </c>
      <c r="Z50" s="30" t="str">
        <f>""</f>
        <v/>
      </c>
      <c r="AA50" s="30">
        <v>1</v>
      </c>
      <c r="AF50" s="30">
        <v>1</v>
      </c>
    </row>
    <row r="51" spans="1:32" ht="11.25" customHeight="1" x14ac:dyDescent="0.2">
      <c r="B51" s="30" t="str">
        <f>ProcDataGen2012On!B28</f>
        <v>ERBIO-N</v>
      </c>
      <c r="C51" s="30" t="str">
        <f>ProcDataGen2012On!C28</f>
        <v>Biomass municipal waste</v>
      </c>
      <c r="D51" s="30" t="str">
        <f>ProcDataGen2012On!D28</f>
        <v>PWRBIO</v>
      </c>
      <c r="E51" s="30" t="str">
        <f>ProcDataGen2012On!E28</f>
        <v>ELCC</v>
      </c>
      <c r="G51" s="30">
        <v>0.5</v>
      </c>
      <c r="H51" s="30">
        <v>0.5</v>
      </c>
      <c r="I51" s="30">
        <v>0.5</v>
      </c>
      <c r="J51" s="30">
        <v>0.5</v>
      </c>
      <c r="K51" s="30">
        <v>0.5</v>
      </c>
      <c r="Q51" s="30">
        <v>1</v>
      </c>
      <c r="Z51" s="30" t="str">
        <f>""</f>
        <v/>
      </c>
    </row>
    <row r="52" spans="1:32" ht="11.25" customHeight="1" x14ac:dyDescent="0.2">
      <c r="B52" s="30" t="str">
        <f>ProcDataGen2012On!B29</f>
        <v>ERBIG-N</v>
      </c>
      <c r="C52" s="30" t="str">
        <f>ProcDataGen2012On!C29</f>
        <v>Landfill gas</v>
      </c>
      <c r="D52" s="30" t="str">
        <f>ProcDataGen2012On!D29</f>
        <v>PWRBIG</v>
      </c>
      <c r="E52" s="30" t="str">
        <f>ProcDataGen2012On!E29</f>
        <v>ELCC</v>
      </c>
      <c r="G52" s="30">
        <v>0.5</v>
      </c>
      <c r="H52" s="30">
        <v>0.5</v>
      </c>
      <c r="I52" s="30">
        <v>0.5</v>
      </c>
      <c r="J52" s="30">
        <v>0.5</v>
      </c>
      <c r="K52" s="30">
        <v>0.5</v>
      </c>
      <c r="Q52" s="30">
        <v>1</v>
      </c>
      <c r="Z52" s="30" t="str">
        <f>""</f>
        <v/>
      </c>
    </row>
    <row r="53" spans="1:32" ht="11.25" customHeight="1" x14ac:dyDescent="0.2">
      <c r="B53" s="30" t="str">
        <f>ProcDataGen2012On!B30</f>
        <v>ESTSUTL</v>
      </c>
      <c r="C53" s="30" t="str">
        <f>ProcDataGen2012On!C30</f>
        <v>Utility Scale Storage - 4hrs</v>
      </c>
      <c r="D53" s="30" t="str">
        <f>ProcDataGen2012On!D30</f>
        <v>ELCC</v>
      </c>
      <c r="E53" s="30" t="str">
        <f>ProcDataGen2012On!E30</f>
        <v>ELCC</v>
      </c>
      <c r="G53" s="30">
        <v>0</v>
      </c>
      <c r="H53" s="30">
        <v>0</v>
      </c>
      <c r="I53" s="30">
        <v>0</v>
      </c>
      <c r="J53" s="30">
        <v>0</v>
      </c>
      <c r="K53" s="30">
        <v>0</v>
      </c>
      <c r="N53" s="30">
        <v>1</v>
      </c>
      <c r="Q53" s="30">
        <v>1</v>
      </c>
      <c r="Z53" s="30" t="str">
        <f>""</f>
        <v/>
      </c>
      <c r="AA53" s="30">
        <v>1</v>
      </c>
      <c r="AF53" s="30">
        <v>1</v>
      </c>
    </row>
    <row r="54" spans="1:32" ht="11.25" customHeight="1" x14ac:dyDescent="0.2">
      <c r="A54" s="33" t="str">
        <f>ProcDataGen2012On!A31</f>
        <v>* New Power Plants - On-site</v>
      </c>
    </row>
    <row r="55" spans="1:32" ht="11.25" customHeight="1" x14ac:dyDescent="0.2">
      <c r="B55" s="30" t="str">
        <f>ProcDataGen2012On!B34</f>
        <v>ERSOLPRC-N</v>
      </c>
      <c r="C55" s="30" t="str">
        <f>ProcDataGen2012On!C34</f>
        <v>Solar PV rooftop commercial</v>
      </c>
      <c r="D55" s="30" t="str">
        <f>ProcDataGen2012On!D34</f>
        <v>PWRSOL</v>
      </c>
      <c r="E55" s="30" t="str">
        <f>ProcDataGen2012On!E34</f>
        <v>COMELC</v>
      </c>
      <c r="G55" s="30">
        <v>0</v>
      </c>
      <c r="H55" s="30">
        <v>0</v>
      </c>
      <c r="I55" s="30">
        <v>0</v>
      </c>
      <c r="J55" s="30">
        <v>0</v>
      </c>
      <c r="K55" s="30">
        <v>0</v>
      </c>
      <c r="Q55" s="30">
        <v>0</v>
      </c>
    </row>
    <row r="56" spans="1:32" ht="11.25" customHeight="1" x14ac:dyDescent="0.2">
      <c r="B56" s="30" t="str">
        <f>ProcDataGen2012On!B35</f>
        <v>ERSOLPRR-N</v>
      </c>
      <c r="C56" s="30" t="str">
        <f>ProcDataGen2012On!C35</f>
        <v>Solar PV rooftop residential</v>
      </c>
      <c r="D56" s="30" t="str">
        <f>ProcDataGen2012On!D35</f>
        <v>PWRSOL</v>
      </c>
      <c r="E56" s="30" t="str">
        <f>ProcDataGen2012On!E35</f>
        <v>RESELC</v>
      </c>
      <c r="G56" s="30">
        <v>0</v>
      </c>
      <c r="H56" s="30">
        <v>0</v>
      </c>
      <c r="I56" s="30">
        <v>0</v>
      </c>
      <c r="J56" s="30">
        <v>0</v>
      </c>
      <c r="K56" s="30">
        <v>0</v>
      </c>
      <c r="Q56" s="30">
        <v>0</v>
      </c>
    </row>
    <row r="57" spans="1:32" ht="11.25" customHeight="1" x14ac:dyDescent="0.2">
      <c r="B57" s="30" t="str">
        <f>ProcDataGen2012On!B36</f>
        <v>ERSOLPRI-N</v>
      </c>
      <c r="C57" s="30" t="str">
        <f>ProcDataGen2012On!C36</f>
        <v>Solar PV rooftop Industry</v>
      </c>
      <c r="D57" s="30" t="str">
        <f>ProcDataGen2012On!D36</f>
        <v>PWRSOL</v>
      </c>
      <c r="E57" s="30" t="str">
        <f>ProcDataGen2012On!E36</f>
        <v>INDELC</v>
      </c>
      <c r="G57" s="30">
        <v>0</v>
      </c>
      <c r="H57" s="30">
        <v>0</v>
      </c>
      <c r="I57" s="30">
        <v>0</v>
      </c>
      <c r="J57" s="30">
        <v>0</v>
      </c>
      <c r="K57" s="30">
        <v>0</v>
      </c>
      <c r="Q57" s="30">
        <v>0</v>
      </c>
    </row>
    <row r="58" spans="1:32" ht="11.25" customHeight="1" x14ac:dyDescent="0.2">
      <c r="B58" s="30" t="str">
        <f>ProcDataGen2012On!B37</f>
        <v>ETGASENSS-N</v>
      </c>
      <c r="C58" s="30" t="str">
        <f>ProcDataGen2012On!C37</f>
        <v xml:space="preserve">Sasol SSF Gas Plant </v>
      </c>
      <c r="D58" s="30" t="str">
        <f>ProcDataGen2012On!D37</f>
        <v>PWRGAS</v>
      </c>
      <c r="E58" s="30" t="str">
        <f>ProcDataGen2012On!E37</f>
        <v>UPSELC</v>
      </c>
      <c r="G58" s="30">
        <v>0</v>
      </c>
      <c r="H58" s="30">
        <v>0</v>
      </c>
      <c r="I58" s="30">
        <v>0</v>
      </c>
      <c r="J58" s="30">
        <v>0</v>
      </c>
      <c r="K58" s="30">
        <v>0</v>
      </c>
      <c r="N58" s="30">
        <v>1</v>
      </c>
      <c r="Q58" s="30">
        <v>0</v>
      </c>
      <c r="AA58" s="30">
        <v>1</v>
      </c>
      <c r="AF58" s="30">
        <v>1</v>
      </c>
    </row>
    <row r="59" spans="1:32" ht="11.25" customHeight="1" x14ac:dyDescent="0.2">
      <c r="B59" s="30" t="str">
        <f>ProcDataGen2012On!B38</f>
        <v>ETGASENSI-N</v>
      </c>
      <c r="C59" s="30" t="str">
        <f>ProcDataGen2012On!C38</f>
        <v xml:space="preserve">Sasol Infrachem Gas Plant </v>
      </c>
      <c r="D59" s="30" t="str">
        <f>ProcDataGen2012On!D38</f>
        <v>PWRGAS</v>
      </c>
      <c r="E59" s="30" t="str">
        <f>ProcDataGen2012On!E38</f>
        <v>ICPELC</v>
      </c>
      <c r="G59" s="30">
        <v>0</v>
      </c>
      <c r="H59" s="30">
        <v>0</v>
      </c>
      <c r="I59" s="30">
        <v>0</v>
      </c>
      <c r="J59" s="30">
        <v>0</v>
      </c>
      <c r="K59" s="30">
        <v>0</v>
      </c>
      <c r="N59" s="30">
        <v>1</v>
      </c>
      <c r="Q59" s="30">
        <v>0</v>
      </c>
      <c r="AA59" s="30">
        <v>1</v>
      </c>
      <c r="AF59" s="30">
        <v>1</v>
      </c>
    </row>
  </sheetData>
  <dataValidations count="1">
    <dataValidation type="list" allowBlank="1" showInputMessage="1" showErrorMessage="1" sqref="G4" xr:uid="{DA5C5192-E673-4030-810B-C1521EBB80C9}">
      <formula1>$G$5:$H$5</formula1>
    </dataValidation>
  </dataValidations>
  <pageMargins left="0.75" right="0.75" top="1" bottom="1" header="0.5" footer="0.5"/>
  <pageSetup paperSize="9" orientation="landscape" horizontalDpi="1200"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D1A91-6F04-479F-ACB4-3D4A78A75690}">
  <sheetPr codeName="Sheet46">
    <tabColor theme="8"/>
  </sheetPr>
  <dimension ref="A1:O70"/>
  <sheetViews>
    <sheetView workbookViewId="0">
      <selection activeCell="E7" sqref="E7"/>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8" width="10.42578125" style="30" customWidth="1"/>
    <col min="9" max="9" width="16.28515625" style="30" customWidth="1"/>
    <col min="10" max="10" width="9.140625" style="30"/>
    <col min="11" max="11" width="11.28515625" style="30" bestFit="1" customWidth="1"/>
    <col min="12" max="16384" width="9.140625" style="30"/>
  </cols>
  <sheetData>
    <row r="1" spans="1:15" ht="11.25" customHeight="1" x14ac:dyDescent="0.2">
      <c r="A1" s="47"/>
      <c r="B1" s="9"/>
      <c r="I1" s="30" t="s">
        <v>92</v>
      </c>
      <c r="J1" s="30" t="s">
        <v>92</v>
      </c>
      <c r="K1" s="30" t="s">
        <v>92</v>
      </c>
      <c r="L1" s="30" t="s">
        <v>92</v>
      </c>
      <c r="M1" s="30" t="s">
        <v>92</v>
      </c>
      <c r="N1" s="30" t="s">
        <v>92</v>
      </c>
      <c r="O1" s="30" t="s">
        <v>92</v>
      </c>
    </row>
    <row r="2" spans="1:15" ht="11.25" customHeight="1" x14ac:dyDescent="0.2">
      <c r="A2" s="45"/>
    </row>
    <row r="3" spans="1:15" ht="56.25" customHeight="1" x14ac:dyDescent="0.2">
      <c r="E3" s="348" t="s">
        <v>1861</v>
      </c>
      <c r="F3" s="348" t="s">
        <v>1861</v>
      </c>
      <c r="G3" s="348" t="s">
        <v>2013</v>
      </c>
      <c r="H3" s="348"/>
      <c r="I3" s="59" t="s">
        <v>1864</v>
      </c>
      <c r="J3" s="30">
        <f>SUM(M8:M24)</f>
        <v>723.97</v>
      </c>
    </row>
    <row r="4" spans="1:15" ht="21.75" customHeight="1" x14ac:dyDescent="0.2">
      <c r="D4" s="58"/>
      <c r="E4" s="57"/>
      <c r="F4" s="57"/>
      <c r="G4" s="57"/>
      <c r="H4" s="57"/>
      <c r="I4" s="59" t="s">
        <v>1865</v>
      </c>
      <c r="J4" s="30">
        <v>10.548</v>
      </c>
    </row>
    <row r="5" spans="1:15" ht="16.5" customHeight="1" x14ac:dyDescent="0.2">
      <c r="E5" s="3"/>
      <c r="F5" s="3"/>
      <c r="G5" s="3"/>
      <c r="H5" s="3"/>
      <c r="I5" s="59" t="s">
        <v>1863</v>
      </c>
      <c r="J5" s="30">
        <f>J4/J3</f>
        <v>1.4569664488860035E-2</v>
      </c>
    </row>
    <row r="6" spans="1:15" ht="17.25" customHeight="1" x14ac:dyDescent="0.25">
      <c r="B6" s="495"/>
      <c r="C6" s="495"/>
      <c r="D6" s="495" t="s">
        <v>2451</v>
      </c>
      <c r="E6" s="495"/>
      <c r="F6" s="495"/>
      <c r="G6" s="495"/>
      <c r="I6" s="59" t="s">
        <v>1869</v>
      </c>
      <c r="J6" s="30">
        <v>1.601</v>
      </c>
    </row>
    <row r="7" spans="1:15" ht="21.75" customHeight="1" x14ac:dyDescent="0.25">
      <c r="B7" s="495" t="s">
        <v>2411</v>
      </c>
      <c r="C7" s="495" t="s">
        <v>2423</v>
      </c>
      <c r="D7" s="495" t="s">
        <v>2430</v>
      </c>
      <c r="E7" s="495" t="s">
        <v>1862</v>
      </c>
      <c r="F7" s="495" t="s">
        <v>1862</v>
      </c>
      <c r="G7" s="495" t="s">
        <v>1862</v>
      </c>
      <c r="I7" s="59" t="s">
        <v>1870</v>
      </c>
      <c r="J7" s="30">
        <f>J6/J3</f>
        <v>2.2114176001768026E-3</v>
      </c>
      <c r="K7" s="30" t="s">
        <v>1400</v>
      </c>
      <c r="L7" s="30" t="s">
        <v>478</v>
      </c>
      <c r="M7" s="30" t="s">
        <v>2005</v>
      </c>
      <c r="N7" s="30" t="s">
        <v>2008</v>
      </c>
      <c r="O7" s="30" t="s">
        <v>139</v>
      </c>
    </row>
    <row r="8" spans="1:15" ht="11.25" customHeight="1" x14ac:dyDescent="0.2">
      <c r="A8" s="33" t="str">
        <f>ProcDataGenPre2012!B8</f>
        <v>* Existing Power Plants</v>
      </c>
      <c r="K8" s="30" t="s">
        <v>302</v>
      </c>
      <c r="L8" s="30" t="s">
        <v>301</v>
      </c>
      <c r="M8" s="30">
        <v>37.24</v>
      </c>
      <c r="N8" s="380">
        <f>INDEX($L$48:$L$61,MATCH(L8,$K$48:$K$61,0))</f>
        <v>2124.1666666666661</v>
      </c>
      <c r="O8" s="30" t="s">
        <v>2009</v>
      </c>
    </row>
    <row r="9" spans="1:15" ht="11.25" customHeight="1" x14ac:dyDescent="0.2">
      <c r="B9" s="30" t="str">
        <f>ProcDataGenPre2012!B9</f>
        <v>ETCLECAMD-E</v>
      </c>
      <c r="C9" s="30" t="str">
        <f>ProcDataGenPre2012!C9</f>
        <v>CAMDEN</v>
      </c>
      <c r="D9" s="30" t="str">
        <f>Commodities!$B$48</f>
        <v>PWROHF</v>
      </c>
      <c r="E9" s="359">
        <f>$J$5</f>
        <v>1.4569664488860035E-2</v>
      </c>
      <c r="F9" s="359"/>
      <c r="K9" s="30" t="s">
        <v>308</v>
      </c>
      <c r="L9" s="30" t="s">
        <v>307</v>
      </c>
      <c r="M9" s="30">
        <v>25.27</v>
      </c>
      <c r="N9" s="380">
        <f>INDEX($L$48:$L$61,MATCH(L9,$K$48:$K$61,0))</f>
        <v>2565.3333333333326</v>
      </c>
      <c r="O9" s="30" t="s">
        <v>2009</v>
      </c>
    </row>
    <row r="10" spans="1:15" ht="11.25" customHeight="1" x14ac:dyDescent="0.2">
      <c r="D10" s="30" t="str">
        <f>Commodities!$B$49</f>
        <v>PWROKE</v>
      </c>
      <c r="E10" s="359"/>
      <c r="F10" s="359">
        <f>$J$7</f>
        <v>2.2114176001768026E-3</v>
      </c>
      <c r="K10" s="30" t="s">
        <v>300</v>
      </c>
      <c r="L10" s="30" t="s">
        <v>299</v>
      </c>
      <c r="M10" s="30">
        <v>49.8</v>
      </c>
      <c r="N10" s="380">
        <f>INDEX($L$48:$L$61,MATCH(L10,$K$48:$K$61,0))</f>
        <v>2064.0000000000005</v>
      </c>
      <c r="O10" s="30" t="s">
        <v>2009</v>
      </c>
    </row>
    <row r="11" spans="1:15" ht="11.25" customHeight="1" x14ac:dyDescent="0.2">
      <c r="D11" s="30" t="str">
        <f>Commodities!$B$65</f>
        <v>PWRWAT</v>
      </c>
      <c r="E11" s="359"/>
      <c r="F11" s="359"/>
      <c r="G11" s="380">
        <f>INDEX($N$8:$N$36,MATCH(B9,$K$8:$K$36,0))/3.6</f>
        <v>712.59259259259238</v>
      </c>
      <c r="H11" s="380"/>
      <c r="K11" s="30" t="s">
        <v>306</v>
      </c>
      <c r="L11" s="30" t="s">
        <v>305</v>
      </c>
      <c r="M11" s="30">
        <v>12.98</v>
      </c>
      <c r="N11" s="380">
        <f>INDEX($L$48:$L$61,MATCH(L11,$K$48:$K$61,0))</f>
        <v>2248.25</v>
      </c>
      <c r="O11" s="30" t="s">
        <v>2009</v>
      </c>
    </row>
    <row r="12" spans="1:15" ht="11.25" customHeight="1" x14ac:dyDescent="0.2">
      <c r="B12" s="30" t="str">
        <f>ProcDataGenPre2012!B10</f>
        <v>ETCLEGROO-E</v>
      </c>
      <c r="C12" s="30" t="str">
        <f>ProcDataGenPre2012!C10</f>
        <v>GROOTVLEI</v>
      </c>
      <c r="D12" s="30" t="str">
        <f>Commodities!$B$48</f>
        <v>PWROHF</v>
      </c>
      <c r="E12" s="359">
        <f>$J$5</f>
        <v>1.4569664488860035E-2</v>
      </c>
      <c r="F12" s="359"/>
      <c r="G12" s="380"/>
      <c r="H12" s="380"/>
      <c r="K12" s="30" t="s">
        <v>298</v>
      </c>
      <c r="L12" s="30" t="s">
        <v>297</v>
      </c>
      <c r="M12" s="30">
        <v>28.71</v>
      </c>
      <c r="N12" s="380">
        <f>INDEX($L$48:$L$61,MATCH(L12,$K$48:$K$61,0))</f>
        <v>2399.083333333333</v>
      </c>
      <c r="O12" s="30" t="s">
        <v>2009</v>
      </c>
    </row>
    <row r="13" spans="1:15" ht="11.25" customHeight="1" x14ac:dyDescent="0.25">
      <c r="D13" s="30" t="str">
        <f>Commodities!$B$49</f>
        <v>PWROKE</v>
      </c>
      <c r="E13" s="359"/>
      <c r="F13" s="359">
        <f>$J$7</f>
        <v>2.2114176001768026E-3</v>
      </c>
      <c r="G13" s="380"/>
      <c r="H13" s="380"/>
      <c r="K13" s="30" t="s">
        <v>280</v>
      </c>
      <c r="L13" s="30" t="s">
        <v>486</v>
      </c>
      <c r="M13" s="75"/>
      <c r="N13" s="75">
        <f>$N$9</f>
        <v>2565.3333333333326</v>
      </c>
      <c r="O13" s="30" t="s">
        <v>2011</v>
      </c>
    </row>
    <row r="14" spans="1:15" ht="11.25" customHeight="1" x14ac:dyDescent="0.2">
      <c r="D14" s="30" t="str">
        <f>Commodities!$B$65</f>
        <v>PWRWAT</v>
      </c>
      <c r="E14" s="359"/>
      <c r="F14" s="359"/>
      <c r="G14" s="380">
        <f>INDEX($N$8:$N$36,MATCH(B12,$K$8:$K$36,0))/3.6</f>
        <v>624.51388888888891</v>
      </c>
      <c r="H14" s="380"/>
      <c r="K14" s="30" t="s">
        <v>296</v>
      </c>
      <c r="L14" s="30" t="s">
        <v>295</v>
      </c>
      <c r="M14" s="30">
        <v>89.52</v>
      </c>
      <c r="N14" s="380">
        <f>INDEX($L$48:$L$61,MATCH(L14,$K$48:$K$61,0))</f>
        <v>144.08333333333331</v>
      </c>
      <c r="O14" s="30" t="s">
        <v>2009</v>
      </c>
    </row>
    <row r="15" spans="1:15" ht="11.25" customHeight="1" x14ac:dyDescent="0.2">
      <c r="B15" s="30" t="str">
        <f>ProcDataGenPre2012!B11</f>
        <v>ETCLEKOMA-E</v>
      </c>
      <c r="C15" s="30" t="str">
        <f>ProcDataGenPre2012!C11</f>
        <v>KOMATI</v>
      </c>
      <c r="D15" s="30" t="str">
        <f>Commodities!$B$48</f>
        <v>PWROHF</v>
      </c>
      <c r="E15" s="359">
        <f>$J$5</f>
        <v>1.4569664488860035E-2</v>
      </c>
      <c r="F15" s="359"/>
      <c r="K15" s="30" t="s">
        <v>304</v>
      </c>
      <c r="L15" s="30" t="s">
        <v>303</v>
      </c>
      <c r="M15" s="30">
        <v>9.67</v>
      </c>
      <c r="N15" s="380">
        <f>INDEX($L$48:$L$61,MATCH(L15,$K$48:$K$61,0))</f>
        <v>3032.083333333333</v>
      </c>
      <c r="O15" s="30" t="s">
        <v>2009</v>
      </c>
    </row>
    <row r="16" spans="1:15" ht="11.25" customHeight="1" x14ac:dyDescent="0.2">
      <c r="D16" s="30" t="str">
        <f>Commodities!$B$49</f>
        <v>PWROKE</v>
      </c>
      <c r="E16" s="359"/>
      <c r="F16" s="359">
        <f>$J$7</f>
        <v>2.2114176001768026E-3</v>
      </c>
      <c r="K16" s="30" t="s">
        <v>294</v>
      </c>
      <c r="L16" s="30" t="s">
        <v>293</v>
      </c>
      <c r="M16" s="30">
        <v>46.22</v>
      </c>
      <c r="N16" s="380">
        <f>INDEX($L$48:$L$61,MATCH(L16,$K$48:$K$61,0))</f>
        <v>2215</v>
      </c>
      <c r="O16" s="30" t="s">
        <v>2009</v>
      </c>
    </row>
    <row r="17" spans="2:15" ht="11.25" customHeight="1" x14ac:dyDescent="0.2">
      <c r="D17" s="30" t="str">
        <f>Commodities!$B$65</f>
        <v>PWRWAT</v>
      </c>
      <c r="E17" s="359"/>
      <c r="F17" s="359"/>
      <c r="G17" s="380">
        <f>INDEX($N$8:$N$36,MATCH(B15,$K$8:$K$36,0))/3.6</f>
        <v>842.24537037037021</v>
      </c>
      <c r="H17" s="380"/>
      <c r="K17" s="30" t="s">
        <v>260</v>
      </c>
      <c r="L17" s="30" t="s">
        <v>513</v>
      </c>
      <c r="M17" s="30">
        <v>10.16</v>
      </c>
      <c r="N17" s="380">
        <v>231</v>
      </c>
      <c r="O17" s="30" t="s">
        <v>2012</v>
      </c>
    </row>
    <row r="18" spans="2:15" ht="11.25" customHeight="1" x14ac:dyDescent="0.2">
      <c r="B18" s="30" t="str">
        <f>ProcDataGenPre2012!B12</f>
        <v>ETCLEARNO-E</v>
      </c>
      <c r="C18" s="30" t="str">
        <f>ProcDataGenPre2012!C12</f>
        <v>ARNOT</v>
      </c>
      <c r="D18" s="30" t="str">
        <f>Commodities!$B$48</f>
        <v>PWROHF</v>
      </c>
      <c r="E18" s="359">
        <f>$J$5</f>
        <v>1.4569664488860035E-2</v>
      </c>
      <c r="F18" s="359"/>
      <c r="K18" s="30" t="s">
        <v>292</v>
      </c>
      <c r="L18" s="30" t="s">
        <v>291</v>
      </c>
      <c r="M18" s="30">
        <v>69.150000000000006</v>
      </c>
      <c r="N18" s="380">
        <f>INDEX($L$48:$L$61,MATCH(L18,$K$48:$K$61,0))</f>
        <v>1817.5833333333333</v>
      </c>
      <c r="O18" s="30" t="s">
        <v>2009</v>
      </c>
    </row>
    <row r="19" spans="2:15" ht="11.25" customHeight="1" x14ac:dyDescent="0.25">
      <c r="D19" s="30" t="str">
        <f>Commodities!$B$49</f>
        <v>PWROKE</v>
      </c>
      <c r="E19" s="359"/>
      <c r="F19" s="359">
        <f>$J$7</f>
        <v>2.2114176001768026E-3</v>
      </c>
      <c r="K19" s="30" t="s">
        <v>290</v>
      </c>
      <c r="L19" s="30" t="s">
        <v>289</v>
      </c>
      <c r="M19" s="30">
        <v>40.39</v>
      </c>
      <c r="N19" s="386">
        <v>130</v>
      </c>
      <c r="O19" s="30" t="s">
        <v>2009</v>
      </c>
    </row>
    <row r="20" spans="2:15" ht="11.25" customHeight="1" x14ac:dyDescent="0.25">
      <c r="D20" s="30" t="str">
        <f>Commodities!$B$65</f>
        <v>PWRWAT</v>
      </c>
      <c r="E20" s="359"/>
      <c r="F20" s="359"/>
      <c r="G20" s="380">
        <f>INDEX($N$8:$N$36,MATCH(B18,$K$8:$K$36,0))/3.6</f>
        <v>590.04629629629608</v>
      </c>
      <c r="H20" s="380"/>
      <c r="K20" s="30" t="s">
        <v>288</v>
      </c>
      <c r="L20" s="30" t="s">
        <v>287</v>
      </c>
      <c r="M20" s="30">
        <v>44.29</v>
      </c>
      <c r="N20" s="386">
        <v>1800</v>
      </c>
      <c r="O20" s="30" t="s">
        <v>2009</v>
      </c>
    </row>
    <row r="21" spans="2:15" ht="11.25" customHeight="1" x14ac:dyDescent="0.2">
      <c r="B21" s="30" t="str">
        <f>ProcDataGenPre2012!B13</f>
        <v>ETCLEDUVH-E</v>
      </c>
      <c r="C21" s="30" t="str">
        <f>ProcDataGenPre2012!C13</f>
        <v>DUVHA</v>
      </c>
      <c r="D21" s="30" t="str">
        <f>Commodities!$B$48</f>
        <v>PWROHF</v>
      </c>
      <c r="E21" s="359">
        <f>$J$5</f>
        <v>1.4569664488860035E-2</v>
      </c>
      <c r="F21" s="359"/>
      <c r="K21" s="30" t="s">
        <v>286</v>
      </c>
      <c r="L21" s="30" t="s">
        <v>285</v>
      </c>
      <c r="M21" s="30">
        <v>94.19</v>
      </c>
      <c r="N21" s="380">
        <f>INDEX($L$48:$L$61,MATCH(L21,$K$48:$K$61,0))</f>
        <v>111.08333333333336</v>
      </c>
      <c r="O21" s="30" t="s">
        <v>2009</v>
      </c>
    </row>
    <row r="22" spans="2:15" ht="11.25" customHeight="1" x14ac:dyDescent="0.2">
      <c r="D22" s="30" t="str">
        <f>Commodities!$B$49</f>
        <v>PWROKE</v>
      </c>
      <c r="E22" s="359"/>
      <c r="F22" s="359">
        <f>$J$7</f>
        <v>2.2114176001768026E-3</v>
      </c>
      <c r="K22" s="30" t="s">
        <v>284</v>
      </c>
      <c r="L22" s="30" t="s">
        <v>283</v>
      </c>
      <c r="M22" s="30">
        <v>70.39</v>
      </c>
      <c r="N22" s="380">
        <f>INDEX($L$48:$L$61,MATCH(L22,$K$48:$K$61,0))</f>
        <v>1963.5833333333335</v>
      </c>
      <c r="O22" s="30" t="s">
        <v>2009</v>
      </c>
    </row>
    <row r="23" spans="2:15" ht="11.25" customHeight="1" x14ac:dyDescent="0.2">
      <c r="D23" s="30" t="str">
        <f>Commodities!$B$65</f>
        <v>PWRWAT</v>
      </c>
      <c r="E23" s="359"/>
      <c r="F23" s="359"/>
      <c r="G23" s="380">
        <f>INDEX($N$8:$N$36,MATCH(B21,$K$8:$K$36,0))/3.6</f>
        <v>573.33333333333348</v>
      </c>
      <c r="H23" s="380"/>
      <c r="K23" s="30" t="s">
        <v>262</v>
      </c>
      <c r="L23" s="30" t="s">
        <v>426</v>
      </c>
      <c r="M23" s="30">
        <v>36.43</v>
      </c>
      <c r="N23" s="380">
        <v>33.4</v>
      </c>
      <c r="O23" s="30" t="s">
        <v>2012</v>
      </c>
    </row>
    <row r="24" spans="2:15" ht="11.25" customHeight="1" x14ac:dyDescent="0.2">
      <c r="B24" s="30" t="str">
        <f>ProcDataGenPre2012!B14</f>
        <v>ETCLEHEND-E</v>
      </c>
      <c r="C24" s="30" t="str">
        <f>ProcDataGenPre2012!C14</f>
        <v>HENDRINA</v>
      </c>
      <c r="D24" s="30" t="str">
        <f>Commodities!$B$48</f>
        <v>PWROHF</v>
      </c>
      <c r="E24" s="359">
        <f>$J$5</f>
        <v>1.4569664488860035E-2</v>
      </c>
      <c r="F24" s="359"/>
      <c r="K24" s="30" t="s">
        <v>282</v>
      </c>
      <c r="L24" s="30" t="s">
        <v>281</v>
      </c>
      <c r="M24" s="30">
        <v>59.56</v>
      </c>
      <c r="N24" s="380">
        <f>INDEX($L$48:$L$61,MATCH(L24,$K$48:$K$61,0))</f>
        <v>1965.9166666666661</v>
      </c>
      <c r="O24" s="30" t="s">
        <v>2009</v>
      </c>
    </row>
    <row r="25" spans="2:15" ht="11.25" customHeight="1" x14ac:dyDescent="0.25">
      <c r="D25" s="30" t="str">
        <f>Commodities!$B$49</f>
        <v>PWROKE</v>
      </c>
      <c r="E25" s="359"/>
      <c r="F25" s="359">
        <f>$J$7</f>
        <v>2.2114176001768026E-3</v>
      </c>
      <c r="K25" s="30" t="str">
        <f>ProcDataGenPre2012!B24</f>
        <v>ETCLEPFSS-E</v>
      </c>
      <c r="L25" s="30" t="str">
        <f>ProcDataGenPre2012!C24</f>
        <v>Sasol SSF Coal Plant</v>
      </c>
      <c r="N25" s="75">
        <f t="shared" ref="N25:N26" si="0">$N$9</f>
        <v>2565.3333333333326</v>
      </c>
      <c r="O25" s="30" t="s">
        <v>2011</v>
      </c>
    </row>
    <row r="26" spans="2:15" ht="11.25" customHeight="1" x14ac:dyDescent="0.25">
      <c r="D26" s="30" t="str">
        <f>Commodities!$B$65</f>
        <v>PWRWAT</v>
      </c>
      <c r="E26" s="359"/>
      <c r="F26" s="359"/>
      <c r="G26" s="380">
        <f>INDEX($N$8:$N$36,MATCH(B24,$K$8:$K$36,0))/3.6</f>
        <v>666.41203703703695</v>
      </c>
      <c r="H26" s="380"/>
      <c r="K26" s="30" t="str">
        <f>ProcDataGenPre2012!B25</f>
        <v>ETCLEPFSI-E</v>
      </c>
      <c r="L26" s="30" t="str">
        <f>ProcDataGenPre2012!C25</f>
        <v>Sasol Infrachem Coal Plant</v>
      </c>
      <c r="N26" s="75">
        <f t="shared" si="0"/>
        <v>2565.3333333333326</v>
      </c>
      <c r="O26" s="30" t="s">
        <v>2011</v>
      </c>
    </row>
    <row r="27" spans="2:15" ht="11.25" customHeight="1" x14ac:dyDescent="0.2">
      <c r="B27" s="30" t="str">
        <f>ProcDataGenPre2012!B15</f>
        <v>ETCLEKEND-E</v>
      </c>
      <c r="C27" s="30" t="str">
        <f>ProcDataGenPre2012!C15</f>
        <v>KENDAL</v>
      </c>
      <c r="D27" s="30" t="str">
        <f>Commodities!$B$48</f>
        <v>PWROHF</v>
      </c>
      <c r="E27" s="359">
        <f>$J$5</f>
        <v>1.4569664488860035E-2</v>
      </c>
      <c r="F27" s="359"/>
      <c r="K27" s="30" t="str">
        <f>ProcDataGenPre2012!B26</f>
        <v>ETODSGT-E</v>
      </c>
      <c r="L27" s="30" t="str">
        <f>ProcDataGenPre2012!C26</f>
        <v>OCGT liquid fuels Existing</v>
      </c>
      <c r="N27" s="30">
        <v>0</v>
      </c>
      <c r="O27" s="30" t="s">
        <v>2010</v>
      </c>
    </row>
    <row r="28" spans="2:15" ht="11.25" customHeight="1" x14ac:dyDescent="0.2">
      <c r="D28" s="30" t="str">
        <f>Commodities!$B$49</f>
        <v>PWROKE</v>
      </c>
      <c r="E28" s="359"/>
      <c r="F28" s="359">
        <f>$J$7</f>
        <v>2.2114176001768026E-3</v>
      </c>
      <c r="K28" s="30" t="str">
        <f>ProcDataGen2012On!B14</f>
        <v>ETODSGT-N</v>
      </c>
      <c r="L28" s="30" t="str">
        <f>ProcDataGen2012On!C14</f>
        <v>DOE Peakers</v>
      </c>
      <c r="N28" s="30">
        <v>0</v>
      </c>
      <c r="O28" s="30" t="s">
        <v>2010</v>
      </c>
    </row>
    <row r="29" spans="2:15" ht="11.25" customHeight="1" x14ac:dyDescent="0.2">
      <c r="D29" s="30" t="str">
        <f>Commodities!$B$65</f>
        <v>PWRWAT</v>
      </c>
      <c r="E29" s="359"/>
      <c r="F29" s="359"/>
      <c r="G29" s="380">
        <f>INDEX($N$8:$N$36,MATCH(B27,$K$8:$K$36,0))/3.6</f>
        <v>40.023148148148145</v>
      </c>
      <c r="H29" s="380"/>
      <c r="K29" s="30" t="str">
        <f>ProcDataGen2012On!B23</f>
        <v>ETGICGT-N</v>
      </c>
      <c r="L29" s="30" t="str">
        <f>ProcDataGen2012On!C23</f>
        <v>Open Cycle Gas Turbine - LNG</v>
      </c>
      <c r="N29" s="30">
        <v>0</v>
      </c>
      <c r="O29" s="30" t="s">
        <v>2010</v>
      </c>
    </row>
    <row r="30" spans="2:15" ht="11.25" customHeight="1" x14ac:dyDescent="0.2">
      <c r="B30" s="30" t="str">
        <f>ProcDataGenPre2012!B16</f>
        <v>ETCLEKRIE-E</v>
      </c>
      <c r="C30" s="30" t="str">
        <f>ProcDataGenPre2012!C16</f>
        <v>KRIEL</v>
      </c>
      <c r="D30" s="30" t="str">
        <f>Commodities!$B$48</f>
        <v>PWROHF</v>
      </c>
      <c r="E30" s="359">
        <f>$J$5</f>
        <v>1.4569664488860035E-2</v>
      </c>
      <c r="F30" s="359"/>
      <c r="K30" s="30" t="str">
        <f>ProcDataGen2012On!B24</f>
        <v>ETHGNGT-N</v>
      </c>
      <c r="L30" s="30" t="str">
        <f>ProcDataGen2012On!C24</f>
        <v>Hydrogen Turbine or FuelCell</v>
      </c>
      <c r="N30" s="30">
        <v>0</v>
      </c>
      <c r="O30" s="30" t="s">
        <v>2010</v>
      </c>
    </row>
    <row r="31" spans="2:15" ht="11.25" customHeight="1" x14ac:dyDescent="0.2">
      <c r="D31" s="30" t="str">
        <f>Commodities!$B$49</f>
        <v>PWROKE</v>
      </c>
      <c r="E31" s="359"/>
      <c r="F31" s="359">
        <f>$J$7</f>
        <v>2.2114176001768026E-3</v>
      </c>
      <c r="K31" s="30" t="str">
        <f>ProcDataGen2012On!B25</f>
        <v>ETGICCC-N</v>
      </c>
      <c r="L31" s="30" t="str">
        <f>ProcDataGen2012On!C25</f>
        <v>Combined Cycle Gas Turbine - LNG</v>
      </c>
      <c r="N31" s="30">
        <v>12.8</v>
      </c>
      <c r="O31" s="30" t="s">
        <v>2010</v>
      </c>
    </row>
    <row r="32" spans="2:15" ht="11.25" customHeight="1" x14ac:dyDescent="0.2">
      <c r="D32" s="30" t="str">
        <f>Commodities!$B$65</f>
        <v>PWRWAT</v>
      </c>
      <c r="E32" s="359"/>
      <c r="F32" s="359"/>
      <c r="G32" s="380">
        <f>INDEX($N$8:$N$36,MATCH(B30,$K$8:$K$36,0))/3.6</f>
        <v>615.27777777777771</v>
      </c>
      <c r="H32" s="380"/>
      <c r="K32" s="30" t="str">
        <f>ProcDataGen2012On!B26</f>
        <v>ETGICCC-CCS-N</v>
      </c>
      <c r="L32" s="30" t="str">
        <f>ProcDataGen2012On!C26</f>
        <v>Combined Cycle Gas Turbine - LNG with CCS</v>
      </c>
      <c r="N32" s="30">
        <v>19.3</v>
      </c>
      <c r="O32" s="30" t="s">
        <v>2010</v>
      </c>
    </row>
    <row r="33" spans="2:15" ht="11.25" customHeight="1" x14ac:dyDescent="0.2">
      <c r="B33" s="30" t="str">
        <f>ProcDataGenPre2012!B17</f>
        <v>ETCLELETH-E</v>
      </c>
      <c r="C33" s="30" t="str">
        <f>ProcDataGenPre2012!C17</f>
        <v>LETHABO</v>
      </c>
      <c r="D33" s="30" t="str">
        <f>Commodities!$B$48</f>
        <v>PWROHF</v>
      </c>
      <c r="E33" s="359">
        <f>$J$5</f>
        <v>1.4569664488860035E-2</v>
      </c>
      <c r="F33" s="359"/>
      <c r="K33" s="30" t="str">
        <f>ProcDataGen2012On!B27</f>
        <v>ETGICEN-N</v>
      </c>
      <c r="L33" s="30" t="str">
        <f>ProcDataGen2012On!C27</f>
        <v>Gas Engines - LNG</v>
      </c>
      <c r="N33" s="30">
        <v>0</v>
      </c>
      <c r="O33" s="30" t="s">
        <v>2010</v>
      </c>
    </row>
    <row r="34" spans="2:15" ht="11.25" customHeight="1" x14ac:dyDescent="0.2">
      <c r="D34" s="30" t="str">
        <f>Commodities!$B$49</f>
        <v>PWROKE</v>
      </c>
      <c r="E34" s="359"/>
      <c r="F34" s="359">
        <f>$J$7</f>
        <v>2.2114176001768026E-3</v>
      </c>
      <c r="K34" s="30" t="s">
        <v>258</v>
      </c>
      <c r="L34" s="30" t="s">
        <v>257</v>
      </c>
      <c r="N34" s="380">
        <v>231</v>
      </c>
      <c r="O34" s="30" t="s">
        <v>2012</v>
      </c>
    </row>
    <row r="35" spans="2:15" ht="11.25" customHeight="1" x14ac:dyDescent="0.2">
      <c r="D35" s="30" t="str">
        <f>Commodities!$B$65</f>
        <v>PWRWAT</v>
      </c>
      <c r="E35" s="359"/>
      <c r="F35" s="359"/>
      <c r="G35" s="380">
        <f>INDEX($N$8:$N$36,MATCH(B33,$K$8:$K$36,0))/3.6</f>
        <v>504.88425925925924</v>
      </c>
      <c r="H35" s="380"/>
      <c r="K35" s="30" t="s">
        <v>1906</v>
      </c>
      <c r="L35" s="30" t="s">
        <v>1904</v>
      </c>
      <c r="N35" s="30">
        <v>320</v>
      </c>
      <c r="O35" s="30" t="s">
        <v>2010</v>
      </c>
    </row>
    <row r="36" spans="2:15" ht="11.25" customHeight="1" x14ac:dyDescent="0.2">
      <c r="B36" s="30" t="str">
        <f>ProcDataGenPre2012!B18</f>
        <v>ETCLEMAJD-E</v>
      </c>
      <c r="C36" s="30" t="str">
        <f>ProcDataGenPre2012!C18</f>
        <v>MAJUBA DRY</v>
      </c>
      <c r="D36" s="30" t="str">
        <f>Commodities!$B$48</f>
        <v>PWROHF</v>
      </c>
      <c r="E36" s="359">
        <f>$J$5</f>
        <v>1.4569664488860035E-2</v>
      </c>
      <c r="F36" s="359"/>
      <c r="K36" s="30" t="s">
        <v>252</v>
      </c>
      <c r="L36" s="30" t="s">
        <v>251</v>
      </c>
      <c r="N36" s="30">
        <v>33</v>
      </c>
      <c r="O36" s="30" t="s">
        <v>2010</v>
      </c>
    </row>
    <row r="37" spans="2:15" ht="11.25" customHeight="1" x14ac:dyDescent="0.2">
      <c r="D37" s="30" t="str">
        <f>Commodities!$B$49</f>
        <v>PWROKE</v>
      </c>
      <c r="E37" s="359"/>
      <c r="F37" s="359">
        <f>$J$7</f>
        <v>2.2114176001768026E-3</v>
      </c>
    </row>
    <row r="38" spans="2:15" ht="11.25" customHeight="1" x14ac:dyDescent="0.2">
      <c r="D38" s="30" t="str">
        <f>Commodities!$B$65</f>
        <v>PWRWAT</v>
      </c>
      <c r="E38" s="359"/>
      <c r="F38" s="359"/>
      <c r="G38" s="380">
        <f>INDEX($N$8:$N$36,MATCH(B36,$K$8:$K$36,0))/3.6</f>
        <v>36.111111111111107</v>
      </c>
      <c r="H38" s="380"/>
    </row>
    <row r="39" spans="2:15" ht="11.25" customHeight="1" x14ac:dyDescent="0.2">
      <c r="B39" s="30" t="str">
        <f>ProcDataGenPre2012!B19</f>
        <v>ETCLEMAJW-E</v>
      </c>
      <c r="C39" s="30" t="str">
        <f>ProcDataGenPre2012!C19</f>
        <v>MAJUBA WET</v>
      </c>
      <c r="D39" s="30" t="str">
        <f>Commodities!$B$48</f>
        <v>PWROHF</v>
      </c>
      <c r="E39" s="359">
        <f>$J$5</f>
        <v>1.4569664488860035E-2</v>
      </c>
      <c r="F39" s="359"/>
    </row>
    <row r="40" spans="2:15" ht="11.25" customHeight="1" x14ac:dyDescent="0.2">
      <c r="D40" s="30" t="str">
        <f>Commodities!$B$49</f>
        <v>PWROKE</v>
      </c>
      <c r="E40" s="359"/>
      <c r="F40" s="359">
        <f>$J$7</f>
        <v>2.2114176001768026E-3</v>
      </c>
    </row>
    <row r="41" spans="2:15" ht="11.25" customHeight="1" x14ac:dyDescent="0.2">
      <c r="D41" s="30" t="str">
        <f>Commodities!$B$65</f>
        <v>PWRWAT</v>
      </c>
      <c r="E41" s="359"/>
      <c r="F41" s="359"/>
      <c r="G41" s="380">
        <f>INDEX($N$8:$N$36,MATCH(B39,$K$8:$K$36,0))/3.6</f>
        <v>500</v>
      </c>
      <c r="H41" s="380"/>
    </row>
    <row r="42" spans="2:15" ht="11.25" customHeight="1" x14ac:dyDescent="0.2">
      <c r="B42" s="30" t="str">
        <f>ProcDataGenPre2012!B20</f>
        <v>ETCLEMATI-E</v>
      </c>
      <c r="C42" s="30" t="str">
        <f>ProcDataGenPre2012!C20</f>
        <v>MATIMBA</v>
      </c>
      <c r="D42" s="30" t="str">
        <f>Commodities!$B$48</f>
        <v>PWROHF</v>
      </c>
      <c r="E42" s="359">
        <f>$J$5</f>
        <v>1.4569664488860035E-2</v>
      </c>
      <c r="F42" s="359"/>
    </row>
    <row r="43" spans="2:15" ht="11.25" customHeight="1" x14ac:dyDescent="0.2">
      <c r="D43" s="30" t="str">
        <f>Commodities!$B$49</f>
        <v>PWROKE</v>
      </c>
      <c r="E43" s="359"/>
      <c r="F43" s="359">
        <f>$J$7</f>
        <v>2.2114176001768026E-3</v>
      </c>
    </row>
    <row r="44" spans="2:15" ht="11.25" customHeight="1" x14ac:dyDescent="0.2">
      <c r="D44" s="30" t="str">
        <f>Commodities!$B$65</f>
        <v>PWRWAT</v>
      </c>
      <c r="E44" s="359"/>
      <c r="F44" s="359"/>
      <c r="G44" s="380">
        <f>INDEX($N$8:$N$36,MATCH(B42,$K$8:$K$36,0))/3.6</f>
        <v>30.856481481481488</v>
      </c>
      <c r="H44" s="380"/>
    </row>
    <row r="45" spans="2:15" ht="11.25" customHeight="1" x14ac:dyDescent="0.2">
      <c r="B45" s="30" t="str">
        <f>ProcDataGenPre2012!B21</f>
        <v>ETCLEMATL-E</v>
      </c>
      <c r="C45" s="30" t="str">
        <f>ProcDataGenPre2012!C21</f>
        <v>MATLA</v>
      </c>
      <c r="D45" s="30" t="str">
        <f>Commodities!$B$48</f>
        <v>PWROHF</v>
      </c>
      <c r="E45" s="359">
        <f>$J$5</f>
        <v>1.4569664488860035E-2</v>
      </c>
      <c r="F45" s="359"/>
    </row>
    <row r="46" spans="2:15" ht="11.25" customHeight="1" x14ac:dyDescent="0.2">
      <c r="D46" s="30" t="str">
        <f>Commodities!$B$49</f>
        <v>PWROKE</v>
      </c>
      <c r="E46" s="359"/>
      <c r="F46" s="359">
        <f>$J$7</f>
        <v>2.2114176001768026E-3</v>
      </c>
      <c r="K46" s="385" t="s">
        <v>2006</v>
      </c>
    </row>
    <row r="47" spans="2:15" ht="11.25" customHeight="1" x14ac:dyDescent="0.25">
      <c r="D47" s="30" t="str">
        <f>Commodities!$B$65</f>
        <v>PWRWAT</v>
      </c>
      <c r="E47" s="359"/>
      <c r="F47" s="359"/>
      <c r="G47" s="380">
        <f>INDEX($N$8:$N$36,MATCH(B45,$K$8:$K$36,0))/3.6</f>
        <v>545.43981481481489</v>
      </c>
      <c r="H47" s="380"/>
      <c r="K47" s="256"/>
    </row>
    <row r="48" spans="2:15" ht="11.25" customHeight="1" x14ac:dyDescent="0.2">
      <c r="B48" s="30" t="str">
        <f>ProcDataGenPre2012!B22</f>
        <v>ETCLETUTU-E</v>
      </c>
      <c r="C48" s="30" t="str">
        <f>ProcDataGenPre2012!C22</f>
        <v>TUTUKA</v>
      </c>
      <c r="D48" s="30" t="str">
        <f>Commodities!$B$48</f>
        <v>PWROHF</v>
      </c>
      <c r="E48" s="359">
        <f>$J$5</f>
        <v>1.4569664488860035E-2</v>
      </c>
      <c r="F48" s="359"/>
      <c r="K48" t="s">
        <v>416</v>
      </c>
      <c r="L48" s="362">
        <v>2124.1666666666661</v>
      </c>
    </row>
    <row r="49" spans="1:12" ht="11.25" customHeight="1" x14ac:dyDescent="0.2">
      <c r="D49" s="30" t="str">
        <f>Commodities!$B$49</f>
        <v>PWROKE</v>
      </c>
      <c r="E49" s="359"/>
      <c r="F49" s="359">
        <f>$J$7</f>
        <v>2.2114176001768026E-3</v>
      </c>
      <c r="K49" t="s">
        <v>409</v>
      </c>
      <c r="L49" s="362">
        <v>2399.083333333333</v>
      </c>
    </row>
    <row r="50" spans="1:12" ht="11.25" customHeight="1" x14ac:dyDescent="0.2">
      <c r="D50" s="30" t="str">
        <f>Commodities!$B$65</f>
        <v>PWRWAT</v>
      </c>
      <c r="E50" s="359"/>
      <c r="F50" s="359"/>
      <c r="G50" s="380">
        <f>INDEX($N$8:$N$36,MATCH(B48,$K$8:$K$36,0))/3.6</f>
        <v>546.08796296296282</v>
      </c>
      <c r="H50" s="380"/>
      <c r="K50" t="s">
        <v>466</v>
      </c>
      <c r="L50" s="362">
        <v>2064.0000000000005</v>
      </c>
    </row>
    <row r="51" spans="1:12" ht="11.25" customHeight="1" x14ac:dyDescent="0.2">
      <c r="B51" s="30" t="str">
        <f>ProcDataGenPre2012!B23</f>
        <v>ETCLEKELB-E</v>
      </c>
      <c r="C51" s="30" t="str">
        <f>ProcDataGenPre2012!C23</f>
        <v>KELVIN B</v>
      </c>
      <c r="D51" s="30" t="str">
        <f>Commodities!$B$48</f>
        <v>PWROHF</v>
      </c>
      <c r="E51" s="359">
        <f>$J$5</f>
        <v>1.4569664488860035E-2</v>
      </c>
      <c r="F51" s="359"/>
      <c r="K51" t="s">
        <v>410</v>
      </c>
      <c r="L51" s="362">
        <v>2215</v>
      </c>
    </row>
    <row r="52" spans="1:12" ht="11.25" customHeight="1" x14ac:dyDescent="0.2">
      <c r="D52" s="30" t="str">
        <f>Commodities!$B$49</f>
        <v>PWROKE</v>
      </c>
      <c r="E52" s="359"/>
      <c r="F52" s="359">
        <f>$J$7</f>
        <v>2.2114176001768026E-3</v>
      </c>
      <c r="K52" t="s">
        <v>455</v>
      </c>
      <c r="L52" s="362">
        <v>144.08333333333331</v>
      </c>
    </row>
    <row r="53" spans="1:12" ht="11.25" customHeight="1" x14ac:dyDescent="0.2">
      <c r="D53" s="30" t="str">
        <f>Commodities!$B$65</f>
        <v>PWRWAT</v>
      </c>
      <c r="E53" s="359"/>
      <c r="F53" s="359"/>
      <c r="G53" s="380">
        <f>INDEX($N$8:$N$36,MATCH(B51,$K$8:$K$36,0))/3.6</f>
        <v>712.59259259259238</v>
      </c>
      <c r="H53" s="380"/>
      <c r="K53" t="s">
        <v>413</v>
      </c>
      <c r="L53" s="362">
        <v>1963.5833333333335</v>
      </c>
    </row>
    <row r="54" spans="1:12" ht="11.25" customHeight="1" x14ac:dyDescent="0.2">
      <c r="A54" s="33" t="str">
        <f>ProcDataGen2012On!A8</f>
        <v>* New Power Plants - Grid</v>
      </c>
      <c r="E54" s="359"/>
      <c r="F54" s="359"/>
      <c r="K54" t="s">
        <v>418</v>
      </c>
      <c r="L54" s="362">
        <v>1965.9166666666661</v>
      </c>
    </row>
    <row r="55" spans="1:12" ht="11.25" customHeight="1" x14ac:dyDescent="0.2">
      <c r="B55" s="30" t="str">
        <f>ProcDataGen2012On!B9</f>
        <v>ETCLEMEDU-N</v>
      </c>
      <c r="C55" s="30" t="str">
        <f>ProcDataGen2012On!C9</f>
        <v>MEDUPI</v>
      </c>
      <c r="D55" s="30" t="str">
        <f>Commodities!$B$48</f>
        <v>PWROHF</v>
      </c>
      <c r="E55" s="359">
        <f>$J$5</f>
        <v>1.4569664488860035E-2</v>
      </c>
      <c r="F55" s="359"/>
      <c r="K55" t="s">
        <v>441</v>
      </c>
      <c r="L55" s="362">
        <v>1817.5833333333333</v>
      </c>
    </row>
    <row r="56" spans="1:12" ht="11.25" customHeight="1" x14ac:dyDescent="0.2">
      <c r="D56" s="30" t="str">
        <f>Commodities!$B$49</f>
        <v>PWROKE</v>
      </c>
      <c r="E56" s="359"/>
      <c r="F56" s="359">
        <f>$J$7</f>
        <v>2.2114176001768026E-3</v>
      </c>
      <c r="K56" t="s">
        <v>434</v>
      </c>
      <c r="L56" s="362">
        <v>111.08333333333336</v>
      </c>
    </row>
    <row r="57" spans="1:12" ht="11.25" customHeight="1" x14ac:dyDescent="0.2">
      <c r="D57" s="30" t="str">
        <f>Commodities!$B$65</f>
        <v>PWRWAT</v>
      </c>
      <c r="E57" s="359"/>
      <c r="F57" s="359"/>
      <c r="G57" s="380">
        <f>INDEX($N$8:$N$36,MATCH(B55,$K$8:$K$36,0))/3.6</f>
        <v>9.2777777777777768</v>
      </c>
      <c r="H57" s="380"/>
      <c r="K57" t="s">
        <v>407</v>
      </c>
      <c r="L57" s="362">
        <v>981.16666666666663</v>
      </c>
    </row>
    <row r="58" spans="1:12" ht="11.25" customHeight="1" x14ac:dyDescent="0.2">
      <c r="B58" s="30" t="str">
        <f>ProcDataGen2012On!B10</f>
        <v>ETCLEKUSI-N</v>
      </c>
      <c r="C58" s="30" t="str">
        <f>ProcDataGen2012On!C10</f>
        <v>KUSILE</v>
      </c>
      <c r="D58" s="30" t="str">
        <f>Commodities!$B$48</f>
        <v>PWROHF</v>
      </c>
      <c r="E58" s="359">
        <f>$J$5</f>
        <v>1.4569664488860035E-2</v>
      </c>
      <c r="F58" s="359"/>
      <c r="K58" t="s">
        <v>470</v>
      </c>
      <c r="L58" s="362">
        <v>2565.3333333333326</v>
      </c>
    </row>
    <row r="59" spans="1:12" ht="11.25" customHeight="1" x14ac:dyDescent="0.2">
      <c r="D59" s="30" t="str">
        <f>Commodities!$B$49</f>
        <v>PWROKE</v>
      </c>
      <c r="E59" s="359"/>
      <c r="F59" s="359">
        <f>$J$7</f>
        <v>2.2114176001768026E-3</v>
      </c>
      <c r="K59" t="s">
        <v>405</v>
      </c>
      <c r="L59" s="362">
        <v>2248.25</v>
      </c>
    </row>
    <row r="60" spans="1:12" ht="11.25" customHeight="1" x14ac:dyDescent="0.2">
      <c r="D60" s="30" t="str">
        <f>Commodities!$B$65</f>
        <v>PWRWAT</v>
      </c>
      <c r="E60" s="359"/>
      <c r="F60" s="359"/>
      <c r="G60" s="380">
        <f>INDEX($N$8:$N$36,MATCH(B58,$K$8:$K$36,0))/3.6</f>
        <v>64.166666666666671</v>
      </c>
      <c r="H60" s="380"/>
      <c r="K60" t="s">
        <v>406</v>
      </c>
      <c r="L60" s="362">
        <v>3032.083333333333</v>
      </c>
    </row>
    <row r="61" spans="1:12" ht="11.25" customHeight="1" x14ac:dyDescent="0.2">
      <c r="B61" s="30" t="str">
        <f>ProcDataGen2012On!B11</f>
        <v>ETCLEWATE-N</v>
      </c>
      <c r="C61" s="30" t="str">
        <f>ProcDataGen2012On!C11</f>
        <v>Generic Waterberg Coal Plant</v>
      </c>
      <c r="D61" s="30" t="str">
        <f>Commodities!$B$48</f>
        <v>PWROHF</v>
      </c>
      <c r="E61" s="359">
        <f>$J$5</f>
        <v>1.4569664488860035E-2</v>
      </c>
      <c r="F61" s="359"/>
      <c r="K61" t="s">
        <v>2007</v>
      </c>
      <c r="L61" s="362">
        <v>68.333333333333329</v>
      </c>
    </row>
    <row r="62" spans="1:12" ht="11.25" customHeight="1" x14ac:dyDescent="0.2">
      <c r="D62" s="30" t="str">
        <f>Commodities!$B$49</f>
        <v>PWROKE</v>
      </c>
      <c r="E62" s="359"/>
      <c r="F62" s="359">
        <f>$J$7</f>
        <v>2.2114176001768026E-3</v>
      </c>
    </row>
    <row r="63" spans="1:12" ht="11.25" customHeight="1" x14ac:dyDescent="0.2">
      <c r="D63" s="30" t="str">
        <f>Commodities!$B$65</f>
        <v>PWRWAT</v>
      </c>
      <c r="E63" s="359"/>
      <c r="F63" s="359"/>
      <c r="G63" s="380">
        <f>INDEX($N$8:$N$36,MATCH(B61,$K$8:$K$36,0))/3.6</f>
        <v>64.166666666666671</v>
      </c>
      <c r="H63" s="380"/>
    </row>
    <row r="64" spans="1:12" ht="11.25" customHeight="1" x14ac:dyDescent="0.2">
      <c r="B64" s="30" t="s">
        <v>1906</v>
      </c>
      <c r="C64" s="30" t="str">
        <f>ProcDataGen2012On!C12</f>
        <v>Generic Waterberg Coal Plant with CCS</v>
      </c>
      <c r="D64" s="30" t="str">
        <f>Commodities!$B$48</f>
        <v>PWROHF</v>
      </c>
      <c r="E64" s="359">
        <f>$J$5</f>
        <v>1.4569664488860035E-2</v>
      </c>
      <c r="F64" s="359"/>
    </row>
    <row r="65" spans="2:8" ht="11.25" customHeight="1" x14ac:dyDescent="0.2">
      <c r="D65" s="30" t="str">
        <f>Commodities!$B$49</f>
        <v>PWROKE</v>
      </c>
      <c r="E65" s="359"/>
      <c r="F65" s="359">
        <f>$J$7</f>
        <v>2.2114176001768026E-3</v>
      </c>
    </row>
    <row r="66" spans="2:8" ht="11.25" customHeight="1" x14ac:dyDescent="0.2">
      <c r="D66" s="30" t="str">
        <f>Commodities!$B$65</f>
        <v>PWRWAT</v>
      </c>
      <c r="E66" s="359"/>
      <c r="F66" s="359"/>
      <c r="G66" s="380">
        <f>INDEX($N$8:$N$36,MATCH(B64,$K$8:$K$36,0))/3.6</f>
        <v>88.888888888888886</v>
      </c>
      <c r="H66" s="380"/>
    </row>
    <row r="67" spans="2:8" ht="11.25" customHeight="1" x14ac:dyDescent="0.2">
      <c r="B67" s="30" t="str">
        <f>ProcDataGen2012On!B15</f>
        <v>ETCLDFB-N</v>
      </c>
      <c r="C67" s="30" t="str">
        <f>ProcDataGen2012On!C15</f>
        <v>Fluidised Bed Combustion Coal</v>
      </c>
      <c r="D67" s="30" t="str">
        <f>Commodities!$B$65</f>
        <v>PWRWAT</v>
      </c>
      <c r="E67" s="359"/>
      <c r="F67" s="359"/>
      <c r="G67" s="380">
        <f>INDEX($N$8:$N$36,MATCH(B67,$K$8:$K$36,0))/3.6</f>
        <v>9.1666666666666661</v>
      </c>
      <c r="H67" s="380"/>
    </row>
    <row r="68" spans="2:8" ht="11.25" customHeight="1" x14ac:dyDescent="0.2">
      <c r="B68" s="30" t="str">
        <f>K31</f>
        <v>ETGICCC-N</v>
      </c>
      <c r="C68" s="30" t="str">
        <f>L31</f>
        <v>Combined Cycle Gas Turbine - LNG</v>
      </c>
      <c r="D68" s="30" t="str">
        <f>Commodities!$B$65</f>
        <v>PWRWAT</v>
      </c>
      <c r="E68" s="359"/>
      <c r="F68" s="359"/>
      <c r="G68" s="380">
        <f>INDEX($N$8:$N$36,MATCH(B68,$K$8:$K$36,0))/3.6</f>
        <v>3.5555555555555558</v>
      </c>
      <c r="H68" s="380"/>
    </row>
    <row r="69" spans="2:8" ht="11.25" customHeight="1" x14ac:dyDescent="0.2">
      <c r="B69" s="30" t="str">
        <f>K32</f>
        <v>ETGICCC-CCS-N</v>
      </c>
      <c r="C69" s="30" t="str">
        <f>L32</f>
        <v>Combined Cycle Gas Turbine - LNG with CCS</v>
      </c>
      <c r="D69" s="30" t="str">
        <f>Commodities!$B$65</f>
        <v>PWRWAT</v>
      </c>
      <c r="E69" s="359"/>
      <c r="F69" s="359"/>
      <c r="G69" s="380">
        <f>INDEX($N$8:$N$36,MATCH(B69,$K$8:$K$36,0))/3.6</f>
        <v>5.3611111111111116</v>
      </c>
      <c r="H69" s="380"/>
    </row>
    <row r="70" spans="2:8" ht="11.25" customHeight="1" x14ac:dyDescent="0.2">
      <c r="E70" s="359"/>
      <c r="F70" s="359"/>
    </row>
  </sheetData>
  <phoneticPr fontId="21" type="noConversion"/>
  <pageMargins left="0.75" right="0.75" top="1" bottom="1" header="0.5" footer="0.5"/>
  <pageSetup paperSize="9" orientation="landscape" horizontalDpi="1200"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43B31-5240-4DC9-8B29-64E0104D93FD}">
  <sheetPr codeName="Sheet43">
    <tabColor theme="8"/>
  </sheetPr>
  <dimension ref="A1:Y25"/>
  <sheetViews>
    <sheetView workbookViewId="0">
      <selection activeCell="M37" sqref="M37"/>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0.140625" style="30" customWidth="1"/>
    <col min="6" max="16384" width="9.140625" style="30"/>
  </cols>
  <sheetData>
    <row r="1" spans="1:25" ht="11.25" customHeight="1" x14ac:dyDescent="0.2">
      <c r="A1" s="47"/>
      <c r="B1" s="9"/>
      <c r="F1" s="30" t="s">
        <v>92</v>
      </c>
      <c r="G1" s="30" t="s">
        <v>92</v>
      </c>
    </row>
    <row r="2" spans="1:25" ht="11.25" customHeight="1" x14ac:dyDescent="0.2">
      <c r="A2" s="45"/>
    </row>
    <row r="3" spans="1:25" ht="34.5" customHeight="1" x14ac:dyDescent="0.2">
      <c r="F3" s="59" t="s">
        <v>1777</v>
      </c>
      <c r="G3" s="59" t="s">
        <v>1786</v>
      </c>
      <c r="H3" s="30" t="s">
        <v>359</v>
      </c>
      <c r="I3" s="30" t="s">
        <v>359</v>
      </c>
      <c r="J3" s="30" t="s">
        <v>359</v>
      </c>
      <c r="K3" s="30" t="s">
        <v>359</v>
      </c>
      <c r="L3" s="30" t="s">
        <v>359</v>
      </c>
      <c r="M3" s="30" t="s">
        <v>359</v>
      </c>
      <c r="N3" s="30" t="s">
        <v>359</v>
      </c>
      <c r="O3" s="30" t="s">
        <v>359</v>
      </c>
      <c r="P3" s="30" t="s">
        <v>359</v>
      </c>
      <c r="Q3" s="30" t="s">
        <v>359</v>
      </c>
      <c r="R3" s="30" t="s">
        <v>359</v>
      </c>
      <c r="S3" s="59"/>
      <c r="T3" s="59"/>
      <c r="U3" s="59"/>
      <c r="V3" s="59"/>
      <c r="W3" s="59"/>
      <c r="X3" s="59"/>
      <c r="Y3" s="59"/>
    </row>
    <row r="4" spans="1:25" ht="21.75" customHeight="1" x14ac:dyDescent="0.2">
      <c r="D4" s="58"/>
      <c r="E4" s="58"/>
      <c r="H4" s="57" t="s">
        <v>349</v>
      </c>
      <c r="I4" s="57" t="s">
        <v>349</v>
      </c>
      <c r="J4" s="57" t="s">
        <v>349</v>
      </c>
      <c r="K4" s="57" t="s">
        <v>349</v>
      </c>
      <c r="L4" s="57" t="s">
        <v>349</v>
      </c>
      <c r="M4" s="57" t="s">
        <v>349</v>
      </c>
      <c r="N4" s="57" t="s">
        <v>349</v>
      </c>
      <c r="O4" s="57" t="s">
        <v>349</v>
      </c>
      <c r="P4" s="57" t="s">
        <v>349</v>
      </c>
      <c r="Q4" s="57" t="s">
        <v>349</v>
      </c>
      <c r="R4" s="57" t="s">
        <v>349</v>
      </c>
      <c r="S4" s="57" t="s">
        <v>349</v>
      </c>
    </row>
    <row r="5" spans="1:25" ht="16.5" customHeight="1" x14ac:dyDescent="0.2">
      <c r="H5" s="30">
        <v>2020</v>
      </c>
      <c r="I5" s="30">
        <v>2021</v>
      </c>
      <c r="J5" s="30">
        <v>2022</v>
      </c>
      <c r="K5" s="30">
        <v>2023</v>
      </c>
      <c r="L5" s="30">
        <v>2024</v>
      </c>
      <c r="M5" s="30">
        <v>2025</v>
      </c>
      <c r="N5" s="30">
        <v>2026</v>
      </c>
      <c r="O5" s="30">
        <v>2027</v>
      </c>
      <c r="P5" s="30">
        <v>2028</v>
      </c>
      <c r="Q5" s="30">
        <v>2029</v>
      </c>
      <c r="R5" s="30">
        <v>2030</v>
      </c>
      <c r="S5" s="30">
        <v>2035</v>
      </c>
    </row>
    <row r="6" spans="1:25" ht="17.25" customHeight="1" x14ac:dyDescent="0.2"/>
    <row r="7" spans="1:25" ht="21.75" customHeight="1" x14ac:dyDescent="0.2">
      <c r="B7" s="47" t="s">
        <v>56</v>
      </c>
      <c r="C7" s="47" t="s">
        <v>57</v>
      </c>
      <c r="D7" s="47" t="s">
        <v>80</v>
      </c>
      <c r="E7" s="47" t="s">
        <v>81</v>
      </c>
      <c r="F7" s="30" t="s">
        <v>2487</v>
      </c>
      <c r="G7" s="30" t="s">
        <v>2487</v>
      </c>
      <c r="H7" s="59" t="str">
        <f t="shared" ref="H7:S7" si="0">IFERROR(REPLACE(H4,SEARCH("-",H4),1,"~"),H4)&amp;"~"&amp;H5</f>
        <v>NCAP_AFA~UP~2020</v>
      </c>
      <c r="I7" s="59" t="str">
        <f t="shared" si="0"/>
        <v>NCAP_AFA~UP~2021</v>
      </c>
      <c r="J7" s="59" t="str">
        <f t="shared" si="0"/>
        <v>NCAP_AFA~UP~2022</v>
      </c>
      <c r="K7" s="59" t="str">
        <f t="shared" si="0"/>
        <v>NCAP_AFA~UP~2023</v>
      </c>
      <c r="L7" s="59" t="str">
        <f t="shared" si="0"/>
        <v>NCAP_AFA~UP~2024</v>
      </c>
      <c r="M7" s="59" t="str">
        <f t="shared" si="0"/>
        <v>NCAP_AFA~UP~2025</v>
      </c>
      <c r="N7" s="59" t="str">
        <f t="shared" si="0"/>
        <v>NCAP_AFA~UP~2026</v>
      </c>
      <c r="O7" s="59" t="str">
        <f t="shared" si="0"/>
        <v>NCAP_AFA~UP~2027</v>
      </c>
      <c r="P7" s="59" t="str">
        <f t="shared" si="0"/>
        <v>NCAP_AFA~UP~2028</v>
      </c>
      <c r="Q7" s="59" t="str">
        <f t="shared" si="0"/>
        <v>NCAP_AFA~UP~2029</v>
      </c>
      <c r="R7" s="59" t="str">
        <f t="shared" si="0"/>
        <v>NCAP_AFA~UP~2030</v>
      </c>
      <c r="S7" s="59" t="str">
        <f t="shared" si="0"/>
        <v>NCAP_AFA~UP~2035</v>
      </c>
      <c r="X7" s="39"/>
      <c r="Y7" s="39"/>
    </row>
    <row r="8" spans="1:25" ht="11.25" customHeight="1" x14ac:dyDescent="0.2">
      <c r="A8" s="33" t="str">
        <f>ProcDataGenPre2012!B8</f>
        <v>* Existing Power Plants</v>
      </c>
      <c r="E8" s="36"/>
    </row>
    <row r="9" spans="1:25" ht="11.25" customHeight="1" x14ac:dyDescent="0.2">
      <c r="B9" s="30" t="str">
        <f>ProcDataGenPre2012!B9</f>
        <v>ETCLECAMD-E</v>
      </c>
      <c r="C9" s="30" t="str">
        <f>ProcDataGenPre2012!C9</f>
        <v>CAMDEN</v>
      </c>
      <c r="D9" s="30" t="str">
        <f>ProcDataGenPre2012!D9</f>
        <v>PWRCLECAMD</v>
      </c>
      <c r="E9" s="30" t="str">
        <f>ProcDataGenPre2012!E9</f>
        <v>ELCC</v>
      </c>
      <c r="F9" s="30">
        <f>INDEX(DecomSchedule!$N$4:$N$19,MATCH(C9,DecomSchedule!$A$4:$A$19,0))</f>
        <v>7</v>
      </c>
      <c r="G9" s="39">
        <f>ProcDataGenPre2012!R9</f>
        <v>0.54111740129475128</v>
      </c>
      <c r="H9" s="39">
        <f>INDEX('eskom production 2009-YTD'!$BC$100:$BN$115,MATCH($C9,'eskom production 2009-YTD'!$A$100:$A$115,0),MATCH(H$5,'eskom production 2009-YTD'!$BC$99:$BN$99,0))</f>
        <v>0.58799999999999997</v>
      </c>
      <c r="I9" s="39">
        <f>INDEX('eskom production 2009-YTD'!$BC$100:$BN$115,MATCH($C9,'eskom production 2009-YTD'!$A$100:$A$115,0),MATCH(I$5,'eskom production 2009-YTD'!$BC$99:$BN$99,0))</f>
        <v>0.43531800000000004</v>
      </c>
      <c r="J9" s="39">
        <f>INDEX('eskom production 2009-YTD'!$BC$100:$BN$115,MATCH($C9,'eskom production 2009-YTD'!$A$100:$A$115,0),MATCH(J$5,'eskom production 2009-YTD'!$BC$99:$BN$99,0))</f>
        <v>0.43480400000000002</v>
      </c>
      <c r="K9" s="39">
        <f>INDEX('eskom production 2009-YTD'!$BC$100:$BN$115,MATCH($C9,'eskom production 2009-YTD'!$A$100:$A$115,0),MATCH(K$5,'eskom production 2009-YTD'!$BC$99:$BN$99,0))</f>
        <v>0.36215200000000008</v>
      </c>
      <c r="L9" s="39">
        <f>INDEX('eskom production 2009-YTD'!$BC$100:$BN$115,MATCH($C9,'eskom production 2009-YTD'!$A$100:$A$115,0),MATCH(L$5,'eskom production 2009-YTD'!$BC$99:$BN$99,0))</f>
        <v>0.28377000000000002</v>
      </c>
      <c r="M9" s="39">
        <f>INDEX('eskom production 2009-YTD'!$BC$100:$BN$115,MATCH($C9,'eskom production 2009-YTD'!$A$100:$A$115,0),MATCH(M$5,'eskom production 2009-YTD'!$BC$99:$BN$99,0))</f>
        <v>0.24593400000000004</v>
      </c>
      <c r="N9" s="39">
        <f>INDEX('eskom production 2009-YTD'!$BC$100:$BN$115,MATCH($C9,'eskom production 2009-YTD'!$A$100:$A$115,0),MATCH(N$5,'eskom production 2009-YTD'!$BC$99:$BN$99,0))</f>
        <v>0.20809800000000003</v>
      </c>
      <c r="O9" s="39">
        <f>INDEX('eskom production 2009-YTD'!$BC$100:$BN$115,MATCH($C9,'eskom production 2009-YTD'!$A$100:$A$115,0),MATCH(O$5,'eskom production 2009-YTD'!$BC$99:$BN$99,0))</f>
        <v>0.22070999999999999</v>
      </c>
      <c r="P9" s="39">
        <f>INDEX('eskom production 2009-YTD'!$BC$100:$BN$115,MATCH($C9,'eskom production 2009-YTD'!$A$100:$A$115,0),MATCH(P$5,'eskom production 2009-YTD'!$BC$99:$BN$99,0))</f>
        <v>0.20809800000000003</v>
      </c>
      <c r="Q9" s="39">
        <f>INDEX('eskom production 2009-YTD'!$BC$100:$BN$115,MATCH($C9,'eskom production 2009-YTD'!$A$100:$A$115,0),MATCH(Q$5,'eskom production 2009-YTD'!$BC$99:$BN$99,0))</f>
        <v>0</v>
      </c>
      <c r="R9" s="39">
        <f>INDEX('eskom production 2009-YTD'!$BC$100:$BN$115,MATCH($C9,'eskom production 2009-YTD'!$A$100:$A$115,0),MATCH(R$5,'eskom production 2009-YTD'!$BC$99:$BN$99,0))</f>
        <v>0</v>
      </c>
      <c r="S9" s="39">
        <f>R9</f>
        <v>0</v>
      </c>
      <c r="Y9" s="39"/>
    </row>
    <row r="10" spans="1:25" ht="11.25" customHeight="1" x14ac:dyDescent="0.2">
      <c r="B10" s="30" t="str">
        <f>ProcDataGenPre2012!B10</f>
        <v>ETCLEGROO-E</v>
      </c>
      <c r="C10" s="30" t="str">
        <f>ProcDataGenPre2012!C10</f>
        <v>GROOTVLEI</v>
      </c>
      <c r="D10" s="30" t="str">
        <f>ProcDataGenPre2012!D10</f>
        <v>PWRCLEGROO</v>
      </c>
      <c r="E10" s="30" t="str">
        <f>ProcDataGenPre2012!E10</f>
        <v>ELCC</v>
      </c>
      <c r="F10" s="30">
        <f>INDEX(DecomSchedule!$N$4:$N$19,MATCH(C10,DecomSchedule!$A$4:$A$19,0))</f>
        <v>3</v>
      </c>
      <c r="G10" s="39">
        <f>ProcDataGenPre2012!R10</f>
        <v>0.36749690039180255</v>
      </c>
      <c r="H10" s="39">
        <f>INDEX('eskom production 2009-YTD'!$BC$100:$BN$115,MATCH($C10,'eskom production 2009-YTD'!$A$100:$A$115,0),MATCH(H$5,'eskom production 2009-YTD'!$BC$99:$BN$99,0))</f>
        <v>0.87367000000000006</v>
      </c>
      <c r="I10" s="39">
        <f>INDEX('eskom production 2009-YTD'!$BC$100:$BN$115,MATCH($C10,'eskom production 2009-YTD'!$A$100:$A$115,0),MATCH(I$5,'eskom production 2009-YTD'!$BC$99:$BN$99,0))</f>
        <v>0.69537000000000004</v>
      </c>
      <c r="J10" s="39">
        <f>INDEX('eskom production 2009-YTD'!$BC$100:$BN$115,MATCH($C10,'eskom production 2009-YTD'!$A$100:$A$115,0),MATCH(J$5,'eskom production 2009-YTD'!$BC$99:$BN$99,0))</f>
        <v>0.632965</v>
      </c>
      <c r="K10" s="39">
        <f>INDEX('eskom production 2009-YTD'!$BC$100:$BN$115,MATCH($C10,'eskom production 2009-YTD'!$A$100:$A$115,0),MATCH(K$5,'eskom production 2009-YTD'!$BC$99:$BN$99,0))</f>
        <v>0</v>
      </c>
      <c r="L10" s="39">
        <f>INDEX('eskom production 2009-YTD'!$BC$100:$BN$115,MATCH($C10,'eskom production 2009-YTD'!$A$100:$A$115,0),MATCH(L$5,'eskom production 2009-YTD'!$BC$99:$BN$99,0))</f>
        <v>0</v>
      </c>
      <c r="M10" s="39">
        <f>INDEX('eskom production 2009-YTD'!$BC$100:$BN$115,MATCH($C10,'eskom production 2009-YTD'!$A$100:$A$115,0),MATCH(M$5,'eskom production 2009-YTD'!$BC$99:$BN$99,0))</f>
        <v>0</v>
      </c>
      <c r="N10" s="39">
        <f>INDEX('eskom production 2009-YTD'!$BC$100:$BN$115,MATCH($C10,'eskom production 2009-YTD'!$A$100:$A$115,0),MATCH(N$5,'eskom production 2009-YTD'!$BC$99:$BN$99,0))</f>
        <v>0</v>
      </c>
      <c r="O10" s="39">
        <f>INDEX('eskom production 2009-YTD'!$BC$100:$BN$115,MATCH($C10,'eskom production 2009-YTD'!$A$100:$A$115,0),MATCH(O$5,'eskom production 2009-YTD'!$BC$99:$BN$99,0))</f>
        <v>0</v>
      </c>
      <c r="P10" s="39">
        <f>INDEX('eskom production 2009-YTD'!$BC$100:$BN$115,MATCH($C10,'eskom production 2009-YTD'!$A$100:$A$115,0),MATCH(P$5,'eskom production 2009-YTD'!$BC$99:$BN$99,0))</f>
        <v>0</v>
      </c>
      <c r="Q10" s="39">
        <f>INDEX('eskom production 2009-YTD'!$BC$100:$BN$115,MATCH($C10,'eskom production 2009-YTD'!$A$100:$A$115,0),MATCH(Q$5,'eskom production 2009-YTD'!$BC$99:$BN$99,0))</f>
        <v>0</v>
      </c>
      <c r="R10" s="39">
        <f>INDEX('eskom production 2009-YTD'!$BC$100:$BN$115,MATCH($C10,'eskom production 2009-YTD'!$A$100:$A$115,0),MATCH(R$5,'eskom production 2009-YTD'!$BC$99:$BN$99,0))</f>
        <v>0</v>
      </c>
      <c r="S10" s="39">
        <f t="shared" ref="S10:S22" si="1">R10</f>
        <v>0</v>
      </c>
      <c r="Y10" s="39"/>
    </row>
    <row r="11" spans="1:25" ht="11.25" customHeight="1" x14ac:dyDescent="0.2">
      <c r="B11" s="30" t="str">
        <f>ProcDataGenPre2012!B11</f>
        <v>ETCLEKOMA-E</v>
      </c>
      <c r="C11" s="30" t="str">
        <f>ProcDataGenPre2012!C11</f>
        <v>KOMATI</v>
      </c>
      <c r="D11" s="30" t="str">
        <f>ProcDataGenPre2012!D11</f>
        <v>PWRCLEKOMA</v>
      </c>
      <c r="E11" s="30" t="str">
        <f>ProcDataGenPre2012!E11</f>
        <v>ELCC</v>
      </c>
      <c r="F11" s="30">
        <f>INDEX(DecomSchedule!$N$4:$N$19,MATCH(C11,DecomSchedule!$A$4:$A$19,0))</f>
        <v>4</v>
      </c>
      <c r="G11" s="39">
        <f>ProcDataGenPre2012!R11</f>
        <v>0.33923410885870708</v>
      </c>
      <c r="H11" s="39">
        <f>INDEX('eskom production 2009-YTD'!$BC$100:$BN$115,MATCH($C11,'eskom production 2009-YTD'!$A$100:$A$115,0),MATCH(H$5,'eskom production 2009-YTD'!$BC$99:$BN$99,0))</f>
        <v>0.85642200000000002</v>
      </c>
      <c r="I11" s="39">
        <f>INDEX('eskom production 2009-YTD'!$BC$100:$BN$115,MATCH($C11,'eskom production 2009-YTD'!$A$100:$A$115,0),MATCH(I$5,'eskom production 2009-YTD'!$BC$99:$BN$99,0))</f>
        <v>0.68164200000000008</v>
      </c>
      <c r="J11" s="39">
        <f>INDEX('eskom production 2009-YTD'!$BC$100:$BN$115,MATCH($C11,'eskom production 2009-YTD'!$A$100:$A$115,0),MATCH(J$5,'eskom production 2009-YTD'!$BC$99:$BN$99,0))</f>
        <v>0.62046899999999994</v>
      </c>
      <c r="K11" s="39">
        <f>INDEX('eskom production 2009-YTD'!$BC$100:$BN$115,MATCH($C11,'eskom production 2009-YTD'!$A$100:$A$115,0),MATCH(K$5,'eskom production 2009-YTD'!$BC$99:$BN$99,0))</f>
        <v>0</v>
      </c>
      <c r="L11" s="39">
        <f>INDEX('eskom production 2009-YTD'!$BC$100:$BN$115,MATCH($C11,'eskom production 2009-YTD'!$A$100:$A$115,0),MATCH(L$5,'eskom production 2009-YTD'!$BC$99:$BN$99,0))</f>
        <v>0</v>
      </c>
      <c r="M11" s="39">
        <f>INDEX('eskom production 2009-YTD'!$BC$100:$BN$115,MATCH($C11,'eskom production 2009-YTD'!$A$100:$A$115,0),MATCH(M$5,'eskom production 2009-YTD'!$BC$99:$BN$99,0))</f>
        <v>0</v>
      </c>
      <c r="N11" s="39">
        <f>INDEX('eskom production 2009-YTD'!$BC$100:$BN$115,MATCH($C11,'eskom production 2009-YTD'!$A$100:$A$115,0),MATCH(N$5,'eskom production 2009-YTD'!$BC$99:$BN$99,0))</f>
        <v>0</v>
      </c>
      <c r="O11" s="39">
        <f>INDEX('eskom production 2009-YTD'!$BC$100:$BN$115,MATCH($C11,'eskom production 2009-YTD'!$A$100:$A$115,0),MATCH(O$5,'eskom production 2009-YTD'!$BC$99:$BN$99,0))</f>
        <v>0</v>
      </c>
      <c r="P11" s="39">
        <f>INDEX('eskom production 2009-YTD'!$BC$100:$BN$115,MATCH($C11,'eskom production 2009-YTD'!$A$100:$A$115,0),MATCH(P$5,'eskom production 2009-YTD'!$BC$99:$BN$99,0))</f>
        <v>0</v>
      </c>
      <c r="Q11" s="39">
        <f>INDEX('eskom production 2009-YTD'!$BC$100:$BN$115,MATCH($C11,'eskom production 2009-YTD'!$A$100:$A$115,0),MATCH(Q$5,'eskom production 2009-YTD'!$BC$99:$BN$99,0))</f>
        <v>0</v>
      </c>
      <c r="R11" s="39">
        <f>INDEX('eskom production 2009-YTD'!$BC$100:$BN$115,MATCH($C11,'eskom production 2009-YTD'!$A$100:$A$115,0),MATCH(R$5,'eskom production 2009-YTD'!$BC$99:$BN$99,0))</f>
        <v>0</v>
      </c>
      <c r="S11" s="39">
        <f t="shared" si="1"/>
        <v>0</v>
      </c>
      <c r="Y11" s="39"/>
    </row>
    <row r="12" spans="1:25" ht="11.25" customHeight="1" x14ac:dyDescent="0.2">
      <c r="B12" s="30" t="str">
        <f>ProcDataGenPre2012!B12</f>
        <v>ETCLEARNO-E</v>
      </c>
      <c r="C12" s="30" t="str">
        <f>ProcDataGenPre2012!C12</f>
        <v>ARNOT</v>
      </c>
      <c r="D12" s="30" t="str">
        <f>ProcDataGenPre2012!D12</f>
        <v>PWRCLEARNO</v>
      </c>
      <c r="E12" s="30" t="str">
        <f>ProcDataGenPre2012!E12</f>
        <v>ELCC</v>
      </c>
      <c r="F12" s="30">
        <f>INDEX(DecomSchedule!$N$4:$N$19,MATCH(C12,DecomSchedule!$A$4:$A$19,0))</f>
        <v>6</v>
      </c>
      <c r="G12" s="39">
        <f>ProcDataGenPre2012!R12</f>
        <v>0.52901509650216993</v>
      </c>
      <c r="H12" s="39">
        <f>INDEX('eskom production 2009-YTD'!$BC$100:$BN$115,MATCH($C12,'eskom production 2009-YTD'!$A$100:$A$115,0),MATCH(H$5,'eskom production 2009-YTD'!$BC$99:$BN$99,0))</f>
        <v>0.63758800000000004</v>
      </c>
      <c r="I12" s="39">
        <f>INDEX('eskom production 2009-YTD'!$BC$100:$BN$115,MATCH($C12,'eskom production 2009-YTD'!$A$100:$A$115,0),MATCH(I$5,'eskom production 2009-YTD'!$BC$99:$BN$99,0))</f>
        <v>0.48703199999999996</v>
      </c>
      <c r="J12" s="39">
        <f>INDEX('eskom production 2009-YTD'!$BC$100:$BN$115,MATCH($C12,'eskom production 2009-YTD'!$A$100:$A$115,0),MATCH(J$5,'eskom production 2009-YTD'!$BC$99:$BN$99,0))</f>
        <v>0.46405599999999997</v>
      </c>
      <c r="K12" s="39">
        <f>INDEX('eskom production 2009-YTD'!$BC$100:$BN$115,MATCH($C12,'eskom production 2009-YTD'!$A$100:$A$115,0),MATCH(K$5,'eskom production 2009-YTD'!$BC$99:$BN$99,0))</f>
        <v>0.34871200000000008</v>
      </c>
      <c r="L12" s="39">
        <f>INDEX('eskom production 2009-YTD'!$BC$100:$BN$115,MATCH($C12,'eskom production 2009-YTD'!$A$100:$A$115,0),MATCH(L$5,'eskom production 2009-YTD'!$BC$99:$BN$99,0))</f>
        <v>0.28269</v>
      </c>
      <c r="M12" s="39">
        <f>INDEX('eskom production 2009-YTD'!$BC$100:$BN$115,MATCH($C12,'eskom production 2009-YTD'!$A$100:$A$115,0),MATCH(M$5,'eskom production 2009-YTD'!$BC$99:$BN$99,0))</f>
        <v>0.25537200000000004</v>
      </c>
      <c r="N12" s="39">
        <f>INDEX('eskom production 2009-YTD'!$BC$100:$BN$115,MATCH($C12,'eskom production 2009-YTD'!$A$100:$A$115,0),MATCH(N$5,'eskom production 2009-YTD'!$BC$99:$BN$99,0))</f>
        <v>0.22892100000000004</v>
      </c>
      <c r="O12" s="39">
        <f>INDEX('eskom production 2009-YTD'!$BC$100:$BN$115,MATCH($C12,'eskom production 2009-YTD'!$A$100:$A$115,0),MATCH(O$5,'eskom production 2009-YTD'!$BC$99:$BN$99,0))</f>
        <v>0.23596999999999999</v>
      </c>
      <c r="P12" s="39">
        <f>INDEX('eskom production 2009-YTD'!$BC$100:$BN$115,MATCH($C12,'eskom production 2009-YTD'!$A$100:$A$115,0),MATCH(P$5,'eskom production 2009-YTD'!$BC$99:$BN$99,0))</f>
        <v>0.20064000000000001</v>
      </c>
      <c r="Q12" s="39">
        <f>INDEX('eskom production 2009-YTD'!$BC$100:$BN$115,MATCH($C12,'eskom production 2009-YTD'!$A$100:$A$115,0),MATCH(Q$5,'eskom production 2009-YTD'!$BC$99:$BN$99,0))</f>
        <v>0.17452799999999999</v>
      </c>
      <c r="R12" s="41">
        <f>INDEX('eskom production 2009-YTD'!$BC$100:$BN$115,MATCH($C12,'eskom production 2009-YTD'!$A$100:$A$115,0),MATCH(R$5,'eskom production 2009-YTD'!$BC$99:$BN$99,0))</f>
        <v>0.13644999999999999</v>
      </c>
      <c r="S12" s="41">
        <f t="shared" si="1"/>
        <v>0.13644999999999999</v>
      </c>
      <c r="Y12" s="39"/>
    </row>
    <row r="13" spans="1:25" ht="11.25" customHeight="1" x14ac:dyDescent="0.2">
      <c r="B13" s="30" t="str">
        <f>ProcDataGenPre2012!B13</f>
        <v>ETCLEDUVH-E</v>
      </c>
      <c r="C13" s="30" t="str">
        <f>ProcDataGenPre2012!C13</f>
        <v>DUVHA</v>
      </c>
      <c r="D13" s="30" t="str">
        <f>ProcDataGenPre2012!D13</f>
        <v>PWRCLEDUVH</v>
      </c>
      <c r="E13" s="30" t="str">
        <f>ProcDataGenPre2012!E13</f>
        <v>ELCC</v>
      </c>
      <c r="F13" s="30">
        <f>INDEX(DecomSchedule!$N$4:$N$19,MATCH(C13,DecomSchedule!$A$4:$A$19,0))</f>
        <v>5</v>
      </c>
      <c r="G13" s="39">
        <f>ProcDataGenPre2012!R13</f>
        <v>0.5492283190063032</v>
      </c>
      <c r="H13" s="39">
        <f>INDEX('eskom production 2009-YTD'!$BC$100:$BN$115,MATCH($C13,'eskom production 2009-YTD'!$A$100:$A$115,0),MATCH(H$5,'eskom production 2009-YTD'!$BC$99:$BN$99,0))</f>
        <v>0.53390399999999993</v>
      </c>
      <c r="I13" s="39">
        <f>INDEX('eskom production 2009-YTD'!$BC$100:$BN$115,MATCH($C13,'eskom production 2009-YTD'!$A$100:$A$115,0),MATCH(I$5,'eskom production 2009-YTD'!$BC$99:$BN$99,0))</f>
        <v>0.38742600000000005</v>
      </c>
      <c r="J13" s="39">
        <f>INDEX('eskom production 2009-YTD'!$BC$100:$BN$115,MATCH($C13,'eskom production 2009-YTD'!$A$100:$A$115,0),MATCH(J$5,'eskom production 2009-YTD'!$BC$99:$BN$99,0))</f>
        <v>0.4271359999999999</v>
      </c>
      <c r="K13" s="39">
        <f>INDEX('eskom production 2009-YTD'!$BC$100:$BN$115,MATCH($C13,'eskom production 2009-YTD'!$A$100:$A$115,0),MATCH(K$5,'eskom production 2009-YTD'!$BC$99:$BN$99,0))</f>
        <v>0.31875200000000004</v>
      </c>
      <c r="L13" s="39">
        <f>INDEX('eskom production 2009-YTD'!$BC$100:$BN$115,MATCH($C13,'eskom production 2009-YTD'!$A$100:$A$115,0),MATCH(L$5,'eskom production 2009-YTD'!$BC$99:$BN$99,0))</f>
        <v>0.28269</v>
      </c>
      <c r="M13" s="39">
        <f>INDEX('eskom production 2009-YTD'!$BC$100:$BN$115,MATCH($C13,'eskom production 2009-YTD'!$A$100:$A$115,0),MATCH(M$5,'eskom production 2009-YTD'!$BC$99:$BN$99,0))</f>
        <v>0.238368</v>
      </c>
      <c r="N13" s="39">
        <f>INDEX('eskom production 2009-YTD'!$BC$100:$BN$115,MATCH($C13,'eskom production 2009-YTD'!$A$100:$A$115,0),MATCH(N$5,'eskom production 2009-YTD'!$BC$99:$BN$99,0))</f>
        <v>0.22182600000000002</v>
      </c>
      <c r="O13" s="39">
        <f>INDEX('eskom production 2009-YTD'!$BC$100:$BN$115,MATCH($C13,'eskom production 2009-YTD'!$A$100:$A$115,0),MATCH(O$5,'eskom production 2009-YTD'!$BC$99:$BN$99,0))</f>
        <v>0.22277499999999997</v>
      </c>
      <c r="P13" s="39">
        <f>INDEX('eskom production 2009-YTD'!$BC$100:$BN$115,MATCH($C13,'eskom production 2009-YTD'!$A$100:$A$115,0),MATCH(P$5,'eskom production 2009-YTD'!$BC$99:$BN$99,0))</f>
        <v>0.19615199999999999</v>
      </c>
      <c r="Q13" s="39">
        <f>INDEX('eskom production 2009-YTD'!$BC$100:$BN$115,MATCH($C13,'eskom production 2009-YTD'!$A$100:$A$115,0),MATCH(Q$5,'eskom production 2009-YTD'!$BC$99:$BN$99,0))</f>
        <v>0.194912</v>
      </c>
      <c r="R13" s="39">
        <f>INDEX('eskom production 2009-YTD'!$BC$100:$BN$115,MATCH($C13,'eskom production 2009-YTD'!$A$100:$A$115,0),MATCH(R$5,'eskom production 2009-YTD'!$BC$99:$BN$99,0))</f>
        <v>0.15052499999999999</v>
      </c>
      <c r="S13" s="39">
        <f t="shared" si="1"/>
        <v>0.15052499999999999</v>
      </c>
      <c r="Y13" s="39"/>
    </row>
    <row r="14" spans="1:25" ht="11.25" customHeight="1" x14ac:dyDescent="0.2">
      <c r="B14" s="30" t="str">
        <f>ProcDataGenPre2012!B14</f>
        <v>ETCLEHEND-E</v>
      </c>
      <c r="C14" s="30" t="str">
        <f>ProcDataGenPre2012!C14</f>
        <v>HENDRINA</v>
      </c>
      <c r="D14" s="30" t="str">
        <f>ProcDataGenPre2012!D14</f>
        <v>PWRCLEHEND</v>
      </c>
      <c r="E14" s="30" t="str">
        <f>ProcDataGenPre2012!E14</f>
        <v>ELCC</v>
      </c>
      <c r="F14" s="30">
        <f>INDEX(DecomSchedule!$N$4:$N$19,MATCH(C14,DecomSchedule!$A$4:$A$19,0))</f>
        <v>7</v>
      </c>
      <c r="G14" s="39">
        <f>ProcDataGenPre2012!R14</f>
        <v>0.55583709036115203</v>
      </c>
      <c r="H14" s="39">
        <f>INDEX('eskom production 2009-YTD'!$BC$100:$BN$115,MATCH($C14,'eskom production 2009-YTD'!$A$100:$A$115,0),MATCH(H$5,'eskom production 2009-YTD'!$BC$99:$BN$99,0))</f>
        <v>0.59711399999999992</v>
      </c>
      <c r="I14" s="39">
        <f>INDEX('eskom production 2009-YTD'!$BC$100:$BN$115,MATCH($C14,'eskom production 2009-YTD'!$A$100:$A$115,0),MATCH(I$5,'eskom production 2009-YTD'!$BC$99:$BN$99,0))</f>
        <v>0.43648799999999999</v>
      </c>
      <c r="J14" s="39">
        <f>INDEX('eskom production 2009-YTD'!$BC$100:$BN$115,MATCH($C14,'eskom production 2009-YTD'!$A$100:$A$115,0),MATCH(J$5,'eskom production 2009-YTD'!$BC$99:$BN$99,0))</f>
        <v>0.49238499999999991</v>
      </c>
      <c r="K14" s="39">
        <f>INDEX('eskom production 2009-YTD'!$BC$100:$BN$115,MATCH($C14,'eskom production 2009-YTD'!$A$100:$A$115,0),MATCH(K$5,'eskom production 2009-YTD'!$BC$99:$BN$99,0))</f>
        <v>0.38835999999999998</v>
      </c>
      <c r="L14" s="39">
        <f>INDEX('eskom production 2009-YTD'!$BC$100:$BN$115,MATCH($C14,'eskom production 2009-YTD'!$A$100:$A$115,0),MATCH(L$5,'eskom production 2009-YTD'!$BC$99:$BN$99,0))</f>
        <v>0.31207499999999994</v>
      </c>
      <c r="M14" s="39">
        <f>INDEX('eskom production 2009-YTD'!$BC$100:$BN$115,MATCH($C14,'eskom production 2009-YTD'!$A$100:$A$115,0),MATCH(M$5,'eskom production 2009-YTD'!$BC$99:$BN$99,0))</f>
        <v>0.27046499999999996</v>
      </c>
      <c r="N14" s="39">
        <f>INDEX('eskom production 2009-YTD'!$BC$100:$BN$115,MATCH($C14,'eskom production 2009-YTD'!$A$100:$A$115,0),MATCH(N$5,'eskom production 2009-YTD'!$BC$99:$BN$99,0))</f>
        <v>0</v>
      </c>
      <c r="O14" s="39">
        <f>INDEX('eskom production 2009-YTD'!$BC$100:$BN$115,MATCH($C14,'eskom production 2009-YTD'!$A$100:$A$115,0),MATCH(O$5,'eskom production 2009-YTD'!$BC$99:$BN$99,0))</f>
        <v>0</v>
      </c>
      <c r="P14" s="39">
        <f>INDEX('eskom production 2009-YTD'!$BC$100:$BN$115,MATCH($C14,'eskom production 2009-YTD'!$A$100:$A$115,0),MATCH(P$5,'eskom production 2009-YTD'!$BC$99:$BN$99,0))</f>
        <v>0</v>
      </c>
      <c r="Q14" s="39">
        <f>INDEX('eskom production 2009-YTD'!$BC$100:$BN$115,MATCH($C14,'eskom production 2009-YTD'!$A$100:$A$115,0),MATCH(Q$5,'eskom production 2009-YTD'!$BC$99:$BN$99,0))</f>
        <v>0</v>
      </c>
      <c r="R14" s="39">
        <f>INDEX('eskom production 2009-YTD'!$BC$100:$BN$115,MATCH($C14,'eskom production 2009-YTD'!$A$100:$A$115,0),MATCH(R$5,'eskom production 2009-YTD'!$BC$99:$BN$99,0))</f>
        <v>0</v>
      </c>
      <c r="S14" s="39">
        <f t="shared" si="1"/>
        <v>0</v>
      </c>
      <c r="Y14" s="39"/>
    </row>
    <row r="15" spans="1:25" ht="11.25" customHeight="1" x14ac:dyDescent="0.2">
      <c r="B15" s="30" t="str">
        <f>ProcDataGenPre2012!B15</f>
        <v>ETCLEKEND-E</v>
      </c>
      <c r="C15" s="30" t="str">
        <f>ProcDataGenPre2012!C15</f>
        <v>KENDAL</v>
      </c>
      <c r="D15" s="30" t="str">
        <f>ProcDataGenPre2012!D15</f>
        <v>PWRCLEKEND</v>
      </c>
      <c r="E15" s="30" t="str">
        <f>ProcDataGenPre2012!E15</f>
        <v>ELCC</v>
      </c>
      <c r="F15" s="30">
        <f>INDEX(DecomSchedule!$N$4:$N$19,MATCH(C15,DecomSchedule!$A$4:$A$19,0))</f>
        <v>6</v>
      </c>
      <c r="G15" s="39">
        <f>ProcDataGenPre2012!R15</f>
        <v>0.7392028286823541</v>
      </c>
      <c r="H15" s="39">
        <f>INDEX('eskom production 2009-YTD'!$BC$100:$BN$115,MATCH($C15,'eskom production 2009-YTD'!$A$100:$A$115,0),MATCH(H$5,'eskom production 2009-YTD'!$BC$99:$BN$99,0))</f>
        <v>0.68408999999999998</v>
      </c>
      <c r="I15" s="39">
        <f>INDEX('eskom production 2009-YTD'!$BC$100:$BN$115,MATCH($C15,'eskom production 2009-YTD'!$A$100:$A$115,0),MATCH(I$5,'eskom production 2009-YTD'!$BC$99:$BN$99,0))</f>
        <v>0.63492599999999999</v>
      </c>
      <c r="J15" s="39">
        <f>INDEX('eskom production 2009-YTD'!$BC$100:$BN$115,MATCH($C15,'eskom production 2009-YTD'!$A$100:$A$115,0),MATCH(J$5,'eskom production 2009-YTD'!$BC$99:$BN$99,0))</f>
        <v>0.55976849999999989</v>
      </c>
      <c r="K15" s="39">
        <f>INDEX('eskom production 2009-YTD'!$BC$100:$BN$115,MATCH($C15,'eskom production 2009-YTD'!$A$100:$A$115,0),MATCH(K$5,'eskom production 2009-YTD'!$BC$99:$BN$99,0))</f>
        <v>0.57072600000000007</v>
      </c>
      <c r="L15" s="39">
        <f>INDEX('eskom production 2009-YTD'!$BC$100:$BN$115,MATCH($C15,'eskom production 2009-YTD'!$A$100:$A$115,0),MATCH(L$5,'eskom production 2009-YTD'!$BC$99:$BN$99,0))</f>
        <v>0.50046749999999995</v>
      </c>
      <c r="M15" s="39">
        <f>INDEX('eskom production 2009-YTD'!$BC$100:$BN$115,MATCH($C15,'eskom production 2009-YTD'!$A$100:$A$115,0),MATCH(M$5,'eskom production 2009-YTD'!$BC$99:$BN$99,0))</f>
        <v>0.51527300000000009</v>
      </c>
      <c r="N15" s="39">
        <f>INDEX('eskom production 2009-YTD'!$BC$100:$BN$115,MATCH($C15,'eskom production 2009-YTD'!$A$100:$A$115,0),MATCH(N$5,'eskom production 2009-YTD'!$BC$99:$BN$99,0))</f>
        <v>0.50114400000000003</v>
      </c>
      <c r="O15" s="39">
        <f>INDEX('eskom production 2009-YTD'!$BC$100:$BN$115,MATCH($C15,'eskom production 2009-YTD'!$A$100:$A$115,0),MATCH(O$5,'eskom production 2009-YTD'!$BC$99:$BN$99,0))</f>
        <v>0.46851749999999998</v>
      </c>
      <c r="P15" s="39">
        <f>INDEX('eskom production 2009-YTD'!$BC$100:$BN$115,MATCH($C15,'eskom production 2009-YTD'!$A$100:$A$115,0),MATCH(P$5,'eskom production 2009-YTD'!$BC$99:$BN$99,0))</f>
        <v>0.52754450000000008</v>
      </c>
      <c r="Q15" s="39">
        <f>INDEX('eskom production 2009-YTD'!$BC$100:$BN$115,MATCH($C15,'eskom production 2009-YTD'!$A$100:$A$115,0),MATCH(Q$5,'eskom production 2009-YTD'!$BC$99:$BN$99,0))</f>
        <v>0.48602400000000007</v>
      </c>
      <c r="R15" s="39">
        <f>INDEX('eskom production 2009-YTD'!$BC$100:$BN$115,MATCH($C15,'eskom production 2009-YTD'!$A$100:$A$115,0),MATCH(R$5,'eskom production 2009-YTD'!$BC$99:$BN$99,0))</f>
        <v>0.45587499999999997</v>
      </c>
      <c r="S15" s="39">
        <f t="shared" si="1"/>
        <v>0.45587499999999997</v>
      </c>
      <c r="Y15" s="39"/>
    </row>
    <row r="16" spans="1:25" ht="11.25" customHeight="1" x14ac:dyDescent="0.2">
      <c r="B16" s="30" t="str">
        <f>ProcDataGenPre2012!B16</f>
        <v>ETCLEKRIE-E</v>
      </c>
      <c r="C16" s="30" t="str">
        <f>ProcDataGenPre2012!C16</f>
        <v>KRIEL</v>
      </c>
      <c r="D16" s="30" t="str">
        <f>ProcDataGenPre2012!D16</f>
        <v>PWRCLEKRIE</v>
      </c>
      <c r="E16" s="30" t="str">
        <f>ProcDataGenPre2012!E16</f>
        <v>ELCC</v>
      </c>
      <c r="F16" s="30">
        <f>INDEX(DecomSchedule!$N$4:$N$19,MATCH(C16,DecomSchedule!$A$4:$A$19,0))</f>
        <v>6</v>
      </c>
      <c r="G16" s="39">
        <f>ProcDataGenPre2012!R16</f>
        <v>0.51428303219089555</v>
      </c>
      <c r="H16" s="39">
        <f>INDEX('eskom production 2009-YTD'!$BC$100:$BN$115,MATCH($C16,'eskom production 2009-YTD'!$A$100:$A$115,0),MATCH(H$5,'eskom production 2009-YTD'!$BC$99:$BN$99,0))</f>
        <v>0.53017999999999998</v>
      </c>
      <c r="I16" s="39">
        <f>INDEX('eskom production 2009-YTD'!$BC$100:$BN$115,MATCH($C16,'eskom production 2009-YTD'!$A$100:$A$115,0),MATCH(I$5,'eskom production 2009-YTD'!$BC$99:$BN$99,0))</f>
        <v>0.494676</v>
      </c>
      <c r="J16" s="39">
        <f>INDEX('eskom production 2009-YTD'!$BC$100:$BN$115,MATCH($C16,'eskom production 2009-YTD'!$A$100:$A$115,0),MATCH(J$5,'eskom production 2009-YTD'!$BC$99:$BN$99,0))</f>
        <v>0.38787299999999997</v>
      </c>
      <c r="K16" s="39">
        <f>INDEX('eskom production 2009-YTD'!$BC$100:$BN$115,MATCH($C16,'eskom production 2009-YTD'!$A$100:$A$115,0),MATCH(K$5,'eskom production 2009-YTD'!$BC$99:$BN$99,0))</f>
        <v>0.28778400000000004</v>
      </c>
      <c r="L16" s="39">
        <f>INDEX('eskom production 2009-YTD'!$BC$100:$BN$115,MATCH($C16,'eskom production 2009-YTD'!$A$100:$A$115,0),MATCH(L$5,'eskom production 2009-YTD'!$BC$99:$BN$99,0))</f>
        <v>0.29339999999999999</v>
      </c>
      <c r="M16" s="39">
        <f>INDEX('eskom production 2009-YTD'!$BC$100:$BN$115,MATCH($C16,'eskom production 2009-YTD'!$A$100:$A$115,0),MATCH(M$5,'eskom production 2009-YTD'!$BC$99:$BN$99,0))</f>
        <v>0.25131599999999998</v>
      </c>
      <c r="N16" s="39">
        <f>INDEX('eskom production 2009-YTD'!$BC$100:$BN$115,MATCH($C16,'eskom production 2009-YTD'!$A$100:$A$115,0),MATCH(N$5,'eskom production 2009-YTD'!$BC$99:$BN$99,0))</f>
        <v>0.21578700000000003</v>
      </c>
      <c r="O16" s="39">
        <f>INDEX('eskom production 2009-YTD'!$BC$100:$BN$115,MATCH($C16,'eskom production 2009-YTD'!$A$100:$A$115,0),MATCH(O$5,'eskom production 2009-YTD'!$BC$99:$BN$99,0))</f>
        <v>0.24111499999999997</v>
      </c>
      <c r="P16" s="39">
        <f>INDEX('eskom production 2009-YTD'!$BC$100:$BN$115,MATCH($C16,'eskom production 2009-YTD'!$A$100:$A$115,0),MATCH(P$5,'eskom production 2009-YTD'!$BC$99:$BN$99,0))</f>
        <v>0.16869600000000001</v>
      </c>
      <c r="Q16" s="39">
        <f>INDEX('eskom production 2009-YTD'!$BC$100:$BN$115,MATCH($C16,'eskom production 2009-YTD'!$A$100:$A$115,0),MATCH(Q$5,'eskom production 2009-YTD'!$BC$99:$BN$99,0))</f>
        <v>0.19372799999999998</v>
      </c>
      <c r="R16" s="39">
        <f>INDEX('eskom production 2009-YTD'!$BC$100:$BN$115,MATCH($C16,'eskom production 2009-YTD'!$A$100:$A$115,0),MATCH(R$5,'eskom production 2009-YTD'!$BC$99:$BN$99,0))</f>
        <v>0.16037500000000002</v>
      </c>
      <c r="S16" s="39">
        <f t="shared" si="1"/>
        <v>0.16037500000000002</v>
      </c>
      <c r="Y16" s="39"/>
    </row>
    <row r="17" spans="1:25" ht="11.25" customHeight="1" x14ac:dyDescent="0.2">
      <c r="B17" s="30" t="str">
        <f>ProcDataGenPre2012!B17</f>
        <v>ETCLELETH-E</v>
      </c>
      <c r="C17" s="30" t="str">
        <f>ProcDataGenPre2012!C17</f>
        <v>LETHABO</v>
      </c>
      <c r="D17" s="30" t="str">
        <f>ProcDataGenPre2012!D17</f>
        <v>PWRCLELETH</v>
      </c>
      <c r="E17" s="30" t="str">
        <f>ProcDataGenPre2012!E17</f>
        <v>ELCC</v>
      </c>
      <c r="F17" s="30">
        <f>INDEX(DecomSchedule!$N$4:$N$19,MATCH(C17,DecomSchedule!$A$4:$A$19,0))</f>
        <v>6</v>
      </c>
      <c r="G17" s="39">
        <f>ProcDataGenPre2012!R17</f>
        <v>0.61629073285527491</v>
      </c>
      <c r="H17" s="39">
        <f>INDEX('eskom production 2009-YTD'!$BC$100:$BN$115,MATCH($C17,'eskom production 2009-YTD'!$A$100:$A$115,0),MATCH(H$5,'eskom production 2009-YTD'!$BC$99:$BN$99,0))</f>
        <v>0.72500399999999998</v>
      </c>
      <c r="I17" s="39">
        <f>INDEX('eskom production 2009-YTD'!$BC$100:$BN$115,MATCH($C17,'eskom production 2009-YTD'!$A$100:$A$115,0),MATCH(I$5,'eskom production 2009-YTD'!$BC$99:$BN$99,0))</f>
        <v>0.56456400000000007</v>
      </c>
      <c r="J17" s="39">
        <f>INDEX('eskom production 2009-YTD'!$BC$100:$BN$115,MATCH($C17,'eskom production 2009-YTD'!$A$100:$A$115,0),MATCH(J$5,'eskom production 2009-YTD'!$BC$99:$BN$99,0))</f>
        <v>0.53683099999999995</v>
      </c>
      <c r="K17" s="39">
        <f>INDEX('eskom production 2009-YTD'!$BC$100:$BN$115,MATCH($C17,'eskom production 2009-YTD'!$A$100:$A$115,0),MATCH(K$5,'eskom production 2009-YTD'!$BC$99:$BN$99,0))</f>
        <v>0.39760000000000001</v>
      </c>
      <c r="L17" s="39">
        <f>INDEX('eskom production 2009-YTD'!$BC$100:$BN$115,MATCH($C17,'eskom production 2009-YTD'!$A$100:$A$115,0),MATCH(L$5,'eskom production 2009-YTD'!$BC$99:$BN$99,0))</f>
        <v>0.31684499999999999</v>
      </c>
      <c r="M17" s="39">
        <f>INDEX('eskom production 2009-YTD'!$BC$100:$BN$115,MATCH($C17,'eskom production 2009-YTD'!$A$100:$A$115,0),MATCH(M$5,'eskom production 2009-YTD'!$BC$99:$BN$99,0))</f>
        <v>0.29203199999999996</v>
      </c>
      <c r="N17" s="39">
        <f>INDEX('eskom production 2009-YTD'!$BC$100:$BN$115,MATCH($C17,'eskom production 2009-YTD'!$A$100:$A$115,0),MATCH(N$5,'eskom production 2009-YTD'!$BC$99:$BN$99,0))</f>
        <v>0.22595100000000001</v>
      </c>
      <c r="O17" s="39">
        <f>INDEX('eskom production 2009-YTD'!$BC$100:$BN$115,MATCH($C17,'eskom production 2009-YTD'!$A$100:$A$115,0),MATCH(O$5,'eskom production 2009-YTD'!$BC$99:$BN$99,0))</f>
        <v>0.23768499999999995</v>
      </c>
      <c r="P17" s="39">
        <f>INDEX('eskom production 2009-YTD'!$BC$100:$BN$115,MATCH($C17,'eskom production 2009-YTD'!$A$100:$A$115,0),MATCH(P$5,'eskom production 2009-YTD'!$BC$99:$BN$99,0))</f>
        <v>0.22710599999999997</v>
      </c>
      <c r="Q17" s="39">
        <f>INDEX('eskom production 2009-YTD'!$BC$100:$BN$115,MATCH($C17,'eskom production 2009-YTD'!$A$100:$A$115,0),MATCH(Q$5,'eskom production 2009-YTD'!$BC$99:$BN$99,0))</f>
        <v>0.23699200000000001</v>
      </c>
      <c r="R17" s="39">
        <f>INDEX('eskom production 2009-YTD'!$BC$100:$BN$115,MATCH($C17,'eskom production 2009-YTD'!$A$100:$A$115,0),MATCH(R$5,'eskom production 2009-YTD'!$BC$99:$BN$99,0))</f>
        <v>0.18340000000000001</v>
      </c>
      <c r="S17" s="39">
        <f t="shared" si="1"/>
        <v>0.18340000000000001</v>
      </c>
      <c r="Y17" s="39"/>
    </row>
    <row r="18" spans="1:25" ht="11.25" customHeight="1" x14ac:dyDescent="0.2">
      <c r="B18" s="30" t="str">
        <f>ProcDataGenPre2012!B18</f>
        <v>ETCLEMAJD-E</v>
      </c>
      <c r="C18" s="30" t="str">
        <f>ProcDataGenPre2012!C18</f>
        <v>MAJUBA DRY</v>
      </c>
      <c r="D18" s="30" t="str">
        <f>ProcDataGenPre2012!D18</f>
        <v>PWRCLEMAJU</v>
      </c>
      <c r="E18" s="30" t="str">
        <f>ProcDataGenPre2012!E18</f>
        <v>ELCC</v>
      </c>
      <c r="F18" s="30">
        <f>INDEX(DecomSchedule!$N$4:$N$19,MATCH(C18,DecomSchedule!$A$4:$A$19,0))</f>
        <v>3</v>
      </c>
      <c r="G18" s="39">
        <f>ProcDataGenPre2012!R18</f>
        <v>0.69869089871477885</v>
      </c>
      <c r="H18" s="39">
        <f>INDEX('eskom production 2009-YTD'!$BC$100:$BN$115,MATCH("MAJUBA",'eskom production 2009-YTD'!$A$100:$A$115,0),MATCH(H$5,'eskom production 2009-YTD'!$BC$99:$BN$99,0))</f>
        <v>0.72319499999999992</v>
      </c>
      <c r="I18" s="39">
        <f>INDEX('eskom production 2009-YTD'!$BC$100:$BN$115,MATCH("MAJUBA",'eskom production 2009-YTD'!$A$100:$A$115,0),MATCH(I$5,'eskom production 2009-YTD'!$BC$99:$BN$99,0))</f>
        <v>0.6641180000000001</v>
      </c>
      <c r="J18" s="39">
        <f>INDEX('eskom production 2009-YTD'!$BC$100:$BN$115,MATCH("MAJUBA",'eskom production 2009-YTD'!$A$100:$A$115,0),MATCH(J$5,'eskom production 2009-YTD'!$BC$99:$BN$99,0))</f>
        <v>0.64398599999999995</v>
      </c>
      <c r="K18" s="39">
        <f>INDEX('eskom production 2009-YTD'!$BC$100:$BN$115,MATCH("MAJUBA",'eskom production 2009-YTD'!$A$100:$A$115,0),MATCH(K$5,'eskom production 2009-YTD'!$BC$99:$BN$99,0))</f>
        <v>0.56643600000000005</v>
      </c>
      <c r="L18" s="39">
        <f>INDEX('eskom production 2009-YTD'!$BC$100:$BN$115,MATCH("MAJUBA",'eskom production 2009-YTD'!$A$100:$A$115,0),MATCH(L$5,'eskom production 2009-YTD'!$BC$99:$BN$99,0))</f>
        <v>0.54012499999999997</v>
      </c>
      <c r="M18" s="39">
        <f>INDEX('eskom production 2009-YTD'!$BC$100:$BN$115,MATCH("MAJUBA",'eskom production 2009-YTD'!$A$100:$A$115,0),MATCH(M$5,'eskom production 2009-YTD'!$BC$99:$BN$99,0))</f>
        <v>0.53542800000000013</v>
      </c>
      <c r="N18" s="39">
        <f>INDEX('eskom production 2009-YTD'!$BC$100:$BN$115,MATCH("MAJUBA",'eskom production 2009-YTD'!$A$100:$A$115,0),MATCH(N$5,'eskom production 2009-YTD'!$BC$99:$BN$99,0))</f>
        <v>0.46636449999999996</v>
      </c>
      <c r="O18" s="39">
        <f>INDEX('eskom production 2009-YTD'!$BC$100:$BN$115,MATCH("MAJUBA",'eskom production 2009-YTD'!$A$100:$A$115,0),MATCH(O$5,'eskom production 2009-YTD'!$BC$99:$BN$99,0))</f>
        <v>0.48721500000000012</v>
      </c>
      <c r="P18" s="39">
        <f>INDEX('eskom production 2009-YTD'!$BC$100:$BN$115,MATCH("MAJUBA",'eskom production 2009-YTD'!$A$100:$A$115,0),MATCH(P$5,'eskom production 2009-YTD'!$BC$99:$BN$99,0))</f>
        <v>0.47833450000000005</v>
      </c>
      <c r="Q18" s="39">
        <f>INDEX('eskom production 2009-YTD'!$BC$100:$BN$115,MATCH("MAJUBA",'eskom production 2009-YTD'!$A$100:$A$115,0),MATCH(Q$5,'eskom production 2009-YTD'!$BC$99:$BN$99,0))</f>
        <v>0.47275799999999996</v>
      </c>
      <c r="R18" s="39">
        <f>INDEX('eskom production 2009-YTD'!$BC$100:$BN$115,MATCH("MAJUBA",'eskom production 2009-YTD'!$A$100:$A$115,0),MATCH(R$5,'eskom production 2009-YTD'!$BC$99:$BN$99,0))</f>
        <v>0.4433125</v>
      </c>
      <c r="S18" s="39">
        <f t="shared" si="1"/>
        <v>0.4433125</v>
      </c>
      <c r="Y18" s="39"/>
    </row>
    <row r="19" spans="1:25" ht="11.25" customHeight="1" x14ac:dyDescent="0.2">
      <c r="B19" s="30" t="str">
        <f>ProcDataGenPre2012!B19</f>
        <v>ETCLEMAJW-E</v>
      </c>
      <c r="C19" s="30" t="str">
        <f>ProcDataGenPre2012!C19</f>
        <v>MAJUBA WET</v>
      </c>
      <c r="D19" s="30" t="str">
        <f>ProcDataGenPre2012!D19</f>
        <v>PWRCLEMAJU</v>
      </c>
      <c r="E19" s="30" t="str">
        <f>ProcDataGenPre2012!E19</f>
        <v>ELCC</v>
      </c>
      <c r="F19" s="30">
        <f>INDEX(DecomSchedule!$N$4:$N$19,MATCH(C19,DecomSchedule!$A$4:$A$19,0))</f>
        <v>3</v>
      </c>
      <c r="G19" s="39">
        <f>ProcDataGenPre2012!R19</f>
        <v>0.69869089871477885</v>
      </c>
      <c r="H19" s="39">
        <f>INDEX('eskom production 2009-YTD'!$BC$100:$BN$115,MATCH("MAJUBA",'eskom production 2009-YTD'!$A$100:$A$115,0),MATCH(H$5,'eskom production 2009-YTD'!$BC$99:$BN$99,0))</f>
        <v>0.72319499999999992</v>
      </c>
      <c r="I19" s="39">
        <f>INDEX('eskom production 2009-YTD'!$BC$100:$BN$115,MATCH("MAJUBA",'eskom production 2009-YTD'!$A$100:$A$115,0),MATCH(I$5,'eskom production 2009-YTD'!$BC$99:$BN$99,0))</f>
        <v>0.6641180000000001</v>
      </c>
      <c r="J19" s="39">
        <f>INDEX('eskom production 2009-YTD'!$BC$100:$BN$115,MATCH("MAJUBA",'eskom production 2009-YTD'!$A$100:$A$115,0),MATCH(J$5,'eskom production 2009-YTD'!$BC$99:$BN$99,0))</f>
        <v>0.64398599999999995</v>
      </c>
      <c r="K19" s="39">
        <f>INDEX('eskom production 2009-YTD'!$BC$100:$BN$115,MATCH("MAJUBA",'eskom production 2009-YTD'!$A$100:$A$115,0),MATCH(K$5,'eskom production 2009-YTD'!$BC$99:$BN$99,0))</f>
        <v>0.56643600000000005</v>
      </c>
      <c r="L19" s="39">
        <f>INDEX('eskom production 2009-YTD'!$BC$100:$BN$115,MATCH("MAJUBA",'eskom production 2009-YTD'!$A$100:$A$115,0),MATCH(L$5,'eskom production 2009-YTD'!$BC$99:$BN$99,0))</f>
        <v>0.54012499999999997</v>
      </c>
      <c r="M19" s="39">
        <f>INDEX('eskom production 2009-YTD'!$BC$100:$BN$115,MATCH("MAJUBA",'eskom production 2009-YTD'!$A$100:$A$115,0),MATCH(M$5,'eskom production 2009-YTD'!$BC$99:$BN$99,0))</f>
        <v>0.53542800000000013</v>
      </c>
      <c r="N19" s="39">
        <f>INDEX('eskom production 2009-YTD'!$BC$100:$BN$115,MATCH("MAJUBA",'eskom production 2009-YTD'!$A$100:$A$115,0),MATCH(N$5,'eskom production 2009-YTD'!$BC$99:$BN$99,0))</f>
        <v>0.46636449999999996</v>
      </c>
      <c r="O19" s="39">
        <f>INDEX('eskom production 2009-YTD'!$BC$100:$BN$115,MATCH("MAJUBA",'eskom production 2009-YTD'!$A$100:$A$115,0),MATCH(O$5,'eskom production 2009-YTD'!$BC$99:$BN$99,0))</f>
        <v>0.48721500000000012</v>
      </c>
      <c r="P19" s="39">
        <f>INDEX('eskom production 2009-YTD'!$BC$100:$BN$115,MATCH("MAJUBA",'eskom production 2009-YTD'!$A$100:$A$115,0),MATCH(P$5,'eskom production 2009-YTD'!$BC$99:$BN$99,0))</f>
        <v>0.47833450000000005</v>
      </c>
      <c r="Q19" s="39">
        <f>INDEX('eskom production 2009-YTD'!$BC$100:$BN$115,MATCH("MAJUBA",'eskom production 2009-YTD'!$A$100:$A$115,0),MATCH(Q$5,'eskom production 2009-YTD'!$BC$99:$BN$99,0))</f>
        <v>0.47275799999999996</v>
      </c>
      <c r="R19" s="39">
        <f>INDEX('eskom production 2009-YTD'!$BC$100:$BN$115,MATCH("MAJUBA",'eskom production 2009-YTD'!$A$100:$A$115,0),MATCH(R$5,'eskom production 2009-YTD'!$BC$99:$BN$99,0))</f>
        <v>0.4433125</v>
      </c>
      <c r="S19" s="39">
        <f t="shared" si="1"/>
        <v>0.4433125</v>
      </c>
      <c r="Y19" s="39"/>
    </row>
    <row r="20" spans="1:25" ht="11.25" customHeight="1" x14ac:dyDescent="0.2">
      <c r="B20" s="30" t="str">
        <f>ProcDataGenPre2012!B20</f>
        <v>ETCLEMATI-E</v>
      </c>
      <c r="C20" s="30" t="str">
        <f>ProcDataGenPre2012!C20</f>
        <v>MATIMBA</v>
      </c>
      <c r="D20" s="30" t="str">
        <f>ProcDataGenPre2012!D20</f>
        <v>PWRCLEMATI</v>
      </c>
      <c r="E20" s="30" t="str">
        <f>ProcDataGenPre2012!E20</f>
        <v>ELCC</v>
      </c>
      <c r="F20" s="30">
        <f>INDEX(DecomSchedule!$N$4:$N$19,MATCH(C20,DecomSchedule!$A$4:$A$19,0))</f>
        <v>6</v>
      </c>
      <c r="G20" s="39">
        <f>ProcDataGenPre2012!R20</f>
        <v>0.8094138159760893</v>
      </c>
      <c r="H20" s="39">
        <f>INDEX('eskom production 2009-YTD'!$BC$100:$BN$115,MATCH($C20,'eskom production 2009-YTD'!$A$100:$A$115,0),MATCH(H$5,'eskom production 2009-YTD'!$BC$99:$BN$99,0))</f>
        <v>0.81922499999999998</v>
      </c>
      <c r="I20" s="39">
        <f>INDEX('eskom production 2009-YTD'!$BC$100:$BN$115,MATCH($C20,'eskom production 2009-YTD'!$A$100:$A$115,0),MATCH(I$5,'eskom production 2009-YTD'!$BC$99:$BN$99,0))</f>
        <v>0.71324600000000005</v>
      </c>
      <c r="J20" s="39">
        <f>INDEX('eskom production 2009-YTD'!$BC$100:$BN$115,MATCH($C20,'eskom production 2009-YTD'!$A$100:$A$115,0),MATCH(J$5,'eskom production 2009-YTD'!$BC$99:$BN$99,0))</f>
        <v>0.69802200000000003</v>
      </c>
      <c r="K20" s="39">
        <f>INDEX('eskom production 2009-YTD'!$BC$100:$BN$115,MATCH($C20,'eskom production 2009-YTD'!$A$100:$A$115,0),MATCH(K$5,'eskom production 2009-YTD'!$BC$99:$BN$99,0))</f>
        <v>0.63273600000000008</v>
      </c>
      <c r="L20" s="39">
        <f>INDEX('eskom production 2009-YTD'!$BC$100:$BN$115,MATCH($C20,'eskom production 2009-YTD'!$A$100:$A$115,0),MATCH(L$5,'eskom production 2009-YTD'!$BC$99:$BN$99,0))</f>
        <v>0.5887</v>
      </c>
      <c r="M20" s="39">
        <f>INDEX('eskom production 2009-YTD'!$BC$100:$BN$115,MATCH($C20,'eskom production 2009-YTD'!$A$100:$A$115,0),MATCH(M$5,'eskom production 2009-YTD'!$BC$99:$BN$99,0))</f>
        <v>0.54467150000000009</v>
      </c>
      <c r="N20" s="39">
        <f>INDEX('eskom production 2009-YTD'!$BC$100:$BN$115,MATCH($C20,'eskom production 2009-YTD'!$A$100:$A$115,0),MATCH(N$5,'eskom production 2009-YTD'!$BC$99:$BN$99,0))</f>
        <v>0.52767750000000002</v>
      </c>
      <c r="O20" s="39">
        <f>INDEX('eskom production 2009-YTD'!$BC$100:$BN$115,MATCH($C20,'eskom production 2009-YTD'!$A$100:$A$115,0),MATCH(O$5,'eskom production 2009-YTD'!$BC$99:$BN$99,0))</f>
        <v>0.53183250000000004</v>
      </c>
      <c r="P20" s="39">
        <f>INDEX('eskom production 2009-YTD'!$BC$100:$BN$115,MATCH($C20,'eskom production 2009-YTD'!$A$100:$A$115,0),MATCH(P$5,'eskom production 2009-YTD'!$BC$99:$BN$99,0))</f>
        <v>0.50839250000000002</v>
      </c>
      <c r="Q20" s="39">
        <f>INDEX('eskom production 2009-YTD'!$BC$100:$BN$115,MATCH($C20,'eskom production 2009-YTD'!$A$100:$A$115,0),MATCH(Q$5,'eskom production 2009-YTD'!$BC$99:$BN$99,0))</f>
        <v>0.52872600000000003</v>
      </c>
      <c r="R20" s="39">
        <f>INDEX('eskom production 2009-YTD'!$BC$100:$BN$115,MATCH($C20,'eskom production 2009-YTD'!$A$100:$A$115,0),MATCH(R$5,'eskom production 2009-YTD'!$BC$99:$BN$99,0))</f>
        <v>0.49631249999999993</v>
      </c>
      <c r="S20" s="39">
        <f t="shared" si="1"/>
        <v>0.49631249999999993</v>
      </c>
      <c r="Y20" s="39"/>
    </row>
    <row r="21" spans="1:25" ht="11.25" customHeight="1" x14ac:dyDescent="0.2">
      <c r="B21" s="30" t="str">
        <f>ProcDataGenPre2012!B21</f>
        <v>ETCLEMATL-E</v>
      </c>
      <c r="C21" s="30" t="str">
        <f>ProcDataGenPre2012!C21</f>
        <v>MATLA</v>
      </c>
      <c r="D21" s="30" t="str">
        <f>ProcDataGenPre2012!D21</f>
        <v>PWRCLEMATL</v>
      </c>
      <c r="E21" s="30" t="str">
        <f>ProcDataGenPre2012!E21</f>
        <v>ELCC</v>
      </c>
      <c r="F21" s="30">
        <f>INDEX(DecomSchedule!$N$4:$N$19,MATCH(C21,DecomSchedule!$A$4:$A$19,0))</f>
        <v>6</v>
      </c>
      <c r="G21" s="39">
        <f>ProcDataGenPre2012!R21</f>
        <v>0.64697127709025493</v>
      </c>
      <c r="H21" s="39">
        <f>INDEX('eskom production 2009-YTD'!$BC$100:$BN$115,MATCH($C21,'eskom production 2009-YTD'!$A$100:$A$115,0),MATCH(H$5,'eskom production 2009-YTD'!$BC$99:$BN$99,0))</f>
        <v>0.66626999999999992</v>
      </c>
      <c r="I21" s="39">
        <f>INDEX('eskom production 2009-YTD'!$BC$100:$BN$115,MATCH($C21,'eskom production 2009-YTD'!$A$100:$A$115,0),MATCH(I$5,'eskom production 2009-YTD'!$BC$99:$BN$99,0))</f>
        <v>0.61196400000000006</v>
      </c>
      <c r="J21" s="39">
        <f>INDEX('eskom production 2009-YTD'!$BC$100:$BN$115,MATCH($C21,'eskom production 2009-YTD'!$A$100:$A$115,0),MATCH(J$5,'eskom production 2009-YTD'!$BC$99:$BN$99,0))</f>
        <v>0.60482699999999989</v>
      </c>
      <c r="K21" s="39">
        <f>INDEX('eskom production 2009-YTD'!$BC$100:$BN$115,MATCH($C21,'eskom production 2009-YTD'!$A$100:$A$115,0),MATCH(K$5,'eskom production 2009-YTD'!$BC$99:$BN$99,0))</f>
        <v>0.553566</v>
      </c>
      <c r="L21" s="39">
        <f>INDEX('eskom production 2009-YTD'!$BC$100:$BN$115,MATCH($C21,'eskom production 2009-YTD'!$A$100:$A$115,0),MATCH(L$5,'eskom production 2009-YTD'!$BC$99:$BN$99,0))</f>
        <v>0.50380249999999993</v>
      </c>
      <c r="M21" s="39">
        <f>INDEX('eskom production 2009-YTD'!$BC$100:$BN$115,MATCH($C21,'eskom production 2009-YTD'!$A$100:$A$115,0),MATCH(M$5,'eskom production 2009-YTD'!$BC$99:$BN$99,0))</f>
        <v>0.49018350000000005</v>
      </c>
      <c r="N21" s="39">
        <f>INDEX('eskom production 2009-YTD'!$BC$100:$BN$115,MATCH($C21,'eskom production 2009-YTD'!$A$100:$A$115,0),MATCH(N$5,'eskom production 2009-YTD'!$BC$99:$BN$99,0))</f>
        <v>0.46323900000000001</v>
      </c>
      <c r="O21" s="39">
        <f>INDEX('eskom production 2009-YTD'!$BC$100:$BN$115,MATCH($C21,'eskom production 2009-YTD'!$A$100:$A$115,0),MATCH(O$5,'eskom production 2009-YTD'!$BC$99:$BN$99,0))</f>
        <v>0.46642499999999998</v>
      </c>
      <c r="P21" s="39">
        <f>INDEX('eskom production 2009-YTD'!$BC$100:$BN$115,MATCH($C21,'eskom production 2009-YTD'!$A$100:$A$115,0),MATCH(P$5,'eskom production 2009-YTD'!$BC$99:$BN$99,0))</f>
        <v>0.50513399999999997</v>
      </c>
      <c r="Q21" s="39">
        <f>INDEX('eskom production 2009-YTD'!$BC$100:$BN$115,MATCH($C21,'eskom production 2009-YTD'!$A$100:$A$115,0),MATCH(Q$5,'eskom production 2009-YTD'!$BC$99:$BN$99,0))</f>
        <v>0.46444200000000002</v>
      </c>
      <c r="R21" s="39">
        <f>INDEX('eskom production 2009-YTD'!$BC$100:$BN$115,MATCH($C21,'eskom production 2009-YTD'!$A$100:$A$115,0),MATCH(R$5,'eskom production 2009-YTD'!$BC$99:$BN$99,0))</f>
        <v>0.43543749999999998</v>
      </c>
      <c r="S21" s="39">
        <f t="shared" si="1"/>
        <v>0.43543749999999998</v>
      </c>
      <c r="Y21" s="39"/>
    </row>
    <row r="22" spans="1:25" ht="11.25" customHeight="1" x14ac:dyDescent="0.2">
      <c r="B22" s="30" t="str">
        <f>ProcDataGenPre2012!B22</f>
        <v>ETCLETUTU-E</v>
      </c>
      <c r="C22" s="30" t="str">
        <f>ProcDataGenPre2012!C22</f>
        <v>TUTUKA</v>
      </c>
      <c r="D22" s="30" t="str">
        <f>ProcDataGenPre2012!D22</f>
        <v>PWRCLETUTU</v>
      </c>
      <c r="E22" s="30" t="str">
        <f>ProcDataGenPre2012!E22</f>
        <v>ELCC</v>
      </c>
      <c r="F22" s="30">
        <f>INDEX(DecomSchedule!$N$4:$N$19,MATCH(C22,DecomSchedule!$A$4:$A$19,0))</f>
        <v>6</v>
      </c>
      <c r="G22" s="39">
        <f>ProcDataGenPre2012!R22</f>
        <v>0.5381100970535827</v>
      </c>
      <c r="H22" s="39">
        <f>INDEX('eskom production 2009-YTD'!$BC$100:$BN$115,MATCH($C22,'eskom production 2009-YTD'!$A$100:$A$115,0),MATCH(H$5,'eskom production 2009-YTD'!$BC$99:$BN$99,0))</f>
        <v>0.54938799999999999</v>
      </c>
      <c r="I22" s="39">
        <f>INDEX('eskom production 2009-YTD'!$BC$100:$BN$115,MATCH($C22,'eskom production 2009-YTD'!$A$100:$A$115,0),MATCH(I$5,'eskom production 2009-YTD'!$BC$99:$BN$99,0))</f>
        <v>0.44350800000000001</v>
      </c>
      <c r="J22" s="39">
        <f>INDEX('eskom production 2009-YTD'!$BC$100:$BN$115,MATCH($C22,'eskom production 2009-YTD'!$A$100:$A$115,0),MATCH(J$5,'eskom production 2009-YTD'!$BC$99:$BN$99,0))</f>
        <v>0.38375499999999996</v>
      </c>
      <c r="K22" s="39">
        <f>INDEX('eskom production 2009-YTD'!$BC$100:$BN$115,MATCH($C22,'eskom production 2009-YTD'!$A$100:$A$115,0),MATCH(K$5,'eskom production 2009-YTD'!$BC$99:$BN$99,0))</f>
        <v>0.33124000000000003</v>
      </c>
      <c r="L22" s="39">
        <f>INDEX('eskom production 2009-YTD'!$BC$100:$BN$115,MATCH($C22,'eskom production 2009-YTD'!$A$100:$A$115,0),MATCH(L$5,'eskom production 2009-YTD'!$BC$99:$BN$99,0))</f>
        <v>0.24714000000000003</v>
      </c>
      <c r="M22" s="39">
        <f>INDEX('eskom production 2009-YTD'!$BC$100:$BN$115,MATCH($C22,'eskom production 2009-YTD'!$A$100:$A$115,0),MATCH(M$5,'eskom production 2009-YTD'!$BC$99:$BN$99,0))</f>
        <v>0.23848499999999997</v>
      </c>
      <c r="N22" s="39">
        <f>INDEX('eskom production 2009-YTD'!$BC$100:$BN$115,MATCH($C22,'eskom production 2009-YTD'!$A$100:$A$115,0),MATCH(N$5,'eskom production 2009-YTD'!$BC$99:$BN$99,0))</f>
        <v>0.19087200000000001</v>
      </c>
      <c r="O22" s="39">
        <f>INDEX('eskom production 2009-YTD'!$BC$100:$BN$115,MATCH($C22,'eskom production 2009-YTD'!$A$100:$A$115,0),MATCH(O$5,'eskom production 2009-YTD'!$BC$99:$BN$99,0))</f>
        <v>0.20079499999999997</v>
      </c>
      <c r="P22" s="39">
        <f>INDEX('eskom production 2009-YTD'!$BC$100:$BN$115,MATCH($C22,'eskom production 2009-YTD'!$A$100:$A$115,0),MATCH(P$5,'eskom production 2009-YTD'!$BC$99:$BN$99,0))</f>
        <v>0.20641499999999999</v>
      </c>
      <c r="Q22" s="39">
        <f>INDEX('eskom production 2009-YTD'!$BC$100:$BN$115,MATCH($C22,'eskom production 2009-YTD'!$A$100:$A$115,0),MATCH(Q$5,'eskom production 2009-YTD'!$BC$99:$BN$99,0))</f>
        <v>0.18809600000000001</v>
      </c>
      <c r="R22" s="39">
        <f>INDEX('eskom production 2009-YTD'!$BC$100:$BN$115,MATCH($C22,'eskom production 2009-YTD'!$A$100:$A$115,0),MATCH(R$5,'eskom production 2009-YTD'!$BC$99:$BN$99,0))</f>
        <v>0.14507500000000001</v>
      </c>
      <c r="S22" s="39">
        <f t="shared" si="1"/>
        <v>0.14507500000000001</v>
      </c>
      <c r="Y22" s="39"/>
    </row>
    <row r="23" spans="1:25" ht="11.25" customHeight="1" x14ac:dyDescent="0.2">
      <c r="A23" s="33" t="str">
        <f>ProcDataGen2012On!A8</f>
        <v>* New Power Plants - Grid</v>
      </c>
    </row>
    <row r="24" spans="1:25" ht="11.25" customHeight="1" x14ac:dyDescent="0.2">
      <c r="B24" s="30" t="str">
        <f>ProcDataGen2012On!B9</f>
        <v>ETCLEMEDU-N</v>
      </c>
      <c r="C24" s="30" t="str">
        <f>ProcDataGen2012On!C9</f>
        <v>MEDUPI</v>
      </c>
      <c r="D24" s="30" t="str">
        <f>ProcDataGen2012On!D9</f>
        <v>PWRCLEMEDU</v>
      </c>
      <c r="E24" s="30" t="str">
        <f>ProcDataGen2012On!E8</f>
        <v>ELCC</v>
      </c>
      <c r="F24" s="30">
        <f>W24/0.722</f>
        <v>0</v>
      </c>
      <c r="G24" s="39">
        <f>ProcDataGen2012On!W9</f>
        <v>0.8</v>
      </c>
      <c r="H24" s="39">
        <f>INDEX('eskom production 2009-YTD'!$BC$100:$BN$115,MATCH($C24,'eskom production 2009-YTD'!$A$100:$A$115,0),MATCH(H$5,'eskom production 2009-YTD'!$BC$99:$BN$99,0))</f>
        <v>0.74883599999999995</v>
      </c>
      <c r="I24" s="39">
        <f>INDEX('eskom production 2009-YTD'!$BC$100:$BN$115,MATCH($C24,'eskom production 2009-YTD'!$A$100:$A$115,0),MATCH(I$5,'eskom production 2009-YTD'!$BC$99:$BN$99,0))</f>
        <v>0.70514699999999997</v>
      </c>
      <c r="J24" s="39">
        <f>INDEX('eskom production 2009-YTD'!$BC$100:$BN$115,MATCH($C24,'eskom production 2009-YTD'!$A$100:$A$115,0),MATCH(J$5,'eskom production 2009-YTD'!$BC$99:$BN$99,0))</f>
        <v>0.72008099999999997</v>
      </c>
      <c r="K24" s="39">
        <f>INDEX('eskom production 2009-YTD'!$BC$100:$BN$115,MATCH($C24,'eskom production 2009-YTD'!$A$100:$A$115,0),MATCH(K$5,'eskom production 2009-YTD'!$BC$99:$BN$99,0))</f>
        <v>0.65192400000000006</v>
      </c>
      <c r="L24" s="39">
        <f>INDEX('eskom production 2009-YTD'!$BC$100:$BN$115,MATCH($C24,'eskom production 2009-YTD'!$A$100:$A$115,0),MATCH(L$5,'eskom production 2009-YTD'!$BC$99:$BN$99,0))</f>
        <v>0.61769999999999992</v>
      </c>
      <c r="M24" s="39">
        <f>INDEX('eskom production 2009-YTD'!$BC$100:$BN$115,MATCH($C24,'eskom production 2009-YTD'!$A$100:$A$115,0),MATCH(M$5,'eskom production 2009-YTD'!$BC$99:$BN$99,0))</f>
        <v>0.56920500000000007</v>
      </c>
      <c r="N24" s="39">
        <f>INDEX('eskom production 2009-YTD'!$BC$100:$BN$115,MATCH($C24,'eskom production 2009-YTD'!$A$100:$A$115,0),MATCH(N$5,'eskom production 2009-YTD'!$BC$99:$BN$99,0))</f>
        <v>0.57183349999999999</v>
      </c>
      <c r="O24" s="39">
        <f>INDEX('eskom production 2009-YTD'!$BC$100:$BN$115,MATCH($C24,'eskom production 2009-YTD'!$A$100:$A$115,0),MATCH(O$5,'eskom production 2009-YTD'!$BC$99:$BN$99,0))</f>
        <v>0.584955</v>
      </c>
      <c r="P24" s="39">
        <f>INDEX('eskom production 2009-YTD'!$BC$100:$BN$115,MATCH($C24,'eskom production 2009-YTD'!$A$100:$A$115,0),MATCH(P$5,'eskom production 2009-YTD'!$BC$99:$BN$99,0))</f>
        <v>0.52880799999999994</v>
      </c>
      <c r="Q24" s="39">
        <f>INDEX('eskom production 2009-YTD'!$BC$100:$BN$115,MATCH($C24,'eskom production 2009-YTD'!$A$100:$A$115,0),MATCH(Q$5,'eskom production 2009-YTD'!$BC$99:$BN$99,0))</f>
        <v>0.5396160000000001</v>
      </c>
      <c r="R24" s="39">
        <f>INDEX('eskom production 2009-YTD'!$BC$100:$BN$115,MATCH($C24,'eskom production 2009-YTD'!$A$100:$A$115,0),MATCH(R$5,'eskom production 2009-YTD'!$BC$99:$BN$99,0))</f>
        <v>0.50662499999999999</v>
      </c>
      <c r="S24" s="39">
        <v>0.8</v>
      </c>
      <c r="Y24" s="39"/>
    </row>
    <row r="25" spans="1:25" ht="11.25" customHeight="1" x14ac:dyDescent="0.2">
      <c r="B25" s="30" t="str">
        <f>ProcDataGen2012On!B10</f>
        <v>ETCLEKUSI-N</v>
      </c>
      <c r="C25" s="30" t="str">
        <f>ProcDataGen2012On!C10</f>
        <v>KUSILE</v>
      </c>
      <c r="D25" s="30" t="str">
        <f>ProcDataGen2012On!D10</f>
        <v>PWRCLEKUSI</v>
      </c>
      <c r="E25" s="30" t="str">
        <f>ProcDataGen2012On!E9</f>
        <v>ELCC</v>
      </c>
      <c r="F25" s="30">
        <f>W25/0.722</f>
        <v>0</v>
      </c>
      <c r="G25" s="39">
        <f>ProcDataGen2012On!W10</f>
        <v>0.55218394942432913</v>
      </c>
      <c r="H25" s="39">
        <f>INDEX('eskom production 2009-YTD'!$BC$100:$BN$115,MATCH($C25,'eskom production 2009-YTD'!$A$100:$A$115,0),MATCH(H$5,'eskom production 2009-YTD'!$BC$99:$BN$99,0))</f>
        <v>0.71279999999999999</v>
      </c>
      <c r="I25" s="39">
        <f>INDEX('eskom production 2009-YTD'!$BC$100:$BN$115,MATCH($C25,'eskom production 2009-YTD'!$A$100:$A$115,0),MATCH(I$5,'eskom production 2009-YTD'!$BC$99:$BN$99,0))</f>
        <v>0.68129499999999998</v>
      </c>
      <c r="J25" s="39">
        <f>INDEX('eskom production 2009-YTD'!$BC$100:$BN$115,MATCH($C25,'eskom production 2009-YTD'!$A$100:$A$115,0),MATCH(J$5,'eskom production 2009-YTD'!$BC$99:$BN$99,0))</f>
        <v>0.71580599999999994</v>
      </c>
      <c r="K25" s="39">
        <f>INDEX('eskom production 2009-YTD'!$BC$100:$BN$115,MATCH($C25,'eskom production 2009-YTD'!$A$100:$A$115,0),MATCH(K$5,'eskom production 2009-YTD'!$BC$99:$BN$99,0))</f>
        <v>0.63523200000000002</v>
      </c>
      <c r="L25" s="39">
        <f>INDEX('eskom production 2009-YTD'!$BC$100:$BN$115,MATCH($C25,'eskom production 2009-YTD'!$A$100:$A$115,0),MATCH(L$5,'eskom production 2009-YTD'!$BC$99:$BN$99,0))</f>
        <v>0.59174499999999997</v>
      </c>
      <c r="M25" s="39">
        <f>INDEX('eskom production 2009-YTD'!$BC$100:$BN$115,MATCH($C25,'eskom production 2009-YTD'!$A$100:$A$115,0),MATCH(M$5,'eskom production 2009-YTD'!$BC$99:$BN$99,0))</f>
        <v>0.57796200000000009</v>
      </c>
      <c r="N25" s="39">
        <f>INDEX('eskom production 2009-YTD'!$BC$100:$BN$115,MATCH($C25,'eskom production 2009-YTD'!$A$100:$A$115,0),MATCH(N$5,'eskom production 2009-YTD'!$BC$99:$BN$99,0))</f>
        <v>0.52009649999999996</v>
      </c>
      <c r="O25" s="39">
        <f>INDEX('eskom production 2009-YTD'!$BC$100:$BN$115,MATCH($C25,'eskom production 2009-YTD'!$A$100:$A$115,0),MATCH(O$5,'eskom production 2009-YTD'!$BC$99:$BN$99,0))</f>
        <v>0.55626750000000003</v>
      </c>
      <c r="P25" s="39">
        <f>INDEX('eskom production 2009-YTD'!$BC$100:$BN$115,MATCH($C25,'eskom production 2009-YTD'!$A$100:$A$115,0),MATCH(P$5,'eskom production 2009-YTD'!$BC$99:$BN$99,0))</f>
        <v>0.54310550000000002</v>
      </c>
      <c r="Q25" s="39">
        <f>INDEX('eskom production 2009-YTD'!$BC$100:$BN$115,MATCH($C25,'eskom production 2009-YTD'!$A$100:$A$115,0),MATCH(Q$5,'eskom production 2009-YTD'!$BC$99:$BN$99,0))</f>
        <v>0.52879200000000004</v>
      </c>
      <c r="R25" s="39">
        <f>INDEX('eskom production 2009-YTD'!$BC$100:$BN$115,MATCH($C25,'eskom production 2009-YTD'!$A$100:$A$115,0),MATCH(R$5,'eskom production 2009-YTD'!$BC$99:$BN$99,0))</f>
        <v>0.49637500000000001</v>
      </c>
      <c r="S25" s="39">
        <v>0.8</v>
      </c>
      <c r="Y25" s="39"/>
    </row>
  </sheetData>
  <pageMargins left="0.75" right="0.75" top="1" bottom="1" header="0.5" footer="0.5"/>
  <pageSetup paperSize="9" orientation="landscape" horizontalDpi="1200" r:id="rId1"/>
  <headerFooter alignWithMargins="0"/>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F860D-DD38-457A-9821-3FD42DC085FB}">
  <sheetPr codeName="Sheet44">
    <tabColor theme="8"/>
  </sheetPr>
  <dimension ref="A1:N56"/>
  <sheetViews>
    <sheetView workbookViewId="0">
      <selection sqref="A1:B2"/>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0.140625" style="30" customWidth="1"/>
    <col min="6" max="6" width="6.85546875" style="37" customWidth="1"/>
    <col min="7" max="16384" width="9.140625" style="30"/>
  </cols>
  <sheetData>
    <row r="1" spans="1:14" ht="11.25" customHeight="1" x14ac:dyDescent="0.2">
      <c r="A1" s="47"/>
      <c r="B1" s="9"/>
      <c r="G1" s="30" t="s">
        <v>92</v>
      </c>
      <c r="L1" s="30" t="s">
        <v>92</v>
      </c>
      <c r="M1" s="30" t="s">
        <v>92</v>
      </c>
      <c r="N1" s="30" t="s">
        <v>92</v>
      </c>
    </row>
    <row r="2" spans="1:14" ht="11.25" customHeight="1" x14ac:dyDescent="0.2">
      <c r="A2" s="45"/>
    </row>
    <row r="3" spans="1:14" ht="34.5" customHeight="1" x14ac:dyDescent="0.2">
      <c r="G3" s="59" t="s">
        <v>1777</v>
      </c>
      <c r="H3" s="59" t="s">
        <v>1831</v>
      </c>
      <c r="I3" s="59" t="s">
        <v>1831</v>
      </c>
      <c r="J3" s="59" t="s">
        <v>1831</v>
      </c>
      <c r="K3" s="59" t="s">
        <v>1832</v>
      </c>
      <c r="L3" s="59" t="s">
        <v>1781</v>
      </c>
      <c r="M3" s="59" t="s">
        <v>717</v>
      </c>
      <c r="N3" s="30" t="s">
        <v>1829</v>
      </c>
    </row>
    <row r="4" spans="1:14" ht="21.75" customHeight="1" x14ac:dyDescent="0.2">
      <c r="D4" s="58"/>
      <c r="E4" s="58"/>
      <c r="F4" s="58"/>
      <c r="H4" s="30" t="s">
        <v>1830</v>
      </c>
      <c r="I4" s="30" t="s">
        <v>1830</v>
      </c>
      <c r="J4" s="30" t="s">
        <v>1830</v>
      </c>
      <c r="K4" s="30" t="s">
        <v>1833</v>
      </c>
      <c r="L4" s="59"/>
      <c r="M4" s="59" t="s">
        <v>1828</v>
      </c>
    </row>
    <row r="5" spans="1:14" ht="16.5" customHeight="1" x14ac:dyDescent="0.25">
      <c r="L5" s="59">
        <v>2020</v>
      </c>
      <c r="M5" s="44">
        <v>2025</v>
      </c>
    </row>
    <row r="6" spans="1:14" ht="17.25" customHeight="1" x14ac:dyDescent="0.2"/>
    <row r="7" spans="1:14" ht="21.75" customHeight="1" x14ac:dyDescent="0.2">
      <c r="B7" s="47" t="s">
        <v>56</v>
      </c>
      <c r="C7" s="47" t="s">
        <v>57</v>
      </c>
      <c r="D7" s="47" t="s">
        <v>80</v>
      </c>
      <c r="E7" s="47" t="s">
        <v>81</v>
      </c>
      <c r="F7" s="55" t="s">
        <v>94</v>
      </c>
      <c r="H7" s="30">
        <v>0</v>
      </c>
      <c r="I7" s="30">
        <f>M5</f>
        <v>2025</v>
      </c>
      <c r="J7" s="30">
        <f>M5+1</f>
        <v>2026</v>
      </c>
      <c r="K7" s="30" t="s">
        <v>44</v>
      </c>
    </row>
    <row r="8" spans="1:14" ht="11.25" customHeight="1" x14ac:dyDescent="0.2">
      <c r="A8" s="33" t="str">
        <f>ProcDataGenPre2012!B8</f>
        <v>* Existing Power Plants</v>
      </c>
      <c r="E8" s="36"/>
    </row>
    <row r="9" spans="1:14" ht="11.25" customHeight="1" x14ac:dyDescent="0.2">
      <c r="B9" s="30" t="str">
        <f>ProcDataGenPre2012!B9</f>
        <v>ETCLECAMD-E</v>
      </c>
      <c r="C9" s="30" t="str">
        <f>ProcDataGenPre2012!C9</f>
        <v>CAMDEN</v>
      </c>
      <c r="D9" s="30" t="str">
        <f>ProcDataGenPre2012!D9</f>
        <v>PWRCLECAMD</v>
      </c>
      <c r="E9" s="30" t="str">
        <f>ProcDataGenPre2012!E9</f>
        <v>ELCC</v>
      </c>
      <c r="G9" s="30">
        <f>INDEX(DecomSchedule!$N$4:$N$19,MATCH(C9,DecomSchedule!$A$4:$A$19,0))</f>
        <v>7</v>
      </c>
      <c r="H9" s="30">
        <v>3</v>
      </c>
      <c r="I9" s="30">
        <v>0</v>
      </c>
      <c r="J9" s="30">
        <f>M9/(N9+0.000000001)*2</f>
        <v>0.42314285700180954</v>
      </c>
      <c r="K9" s="30">
        <v>1</v>
      </c>
      <c r="L9" s="30">
        <f>INDEX(ProcDataGenPre2012!$AV9:$BZ9,1,MATCH($L$5,ProcDataGenPre2012!$AV$5:$BZ$5,0))</f>
        <v>1.4810000000000001</v>
      </c>
      <c r="M9" s="30">
        <f>INDEX(ProcDataGenPre2012!$AV9:$BZ9,1,MATCH($M$5,ProcDataGenPre2012!$AV$5:$BZ$5,0))</f>
        <v>0.63471428571428568</v>
      </c>
      <c r="N9" s="30">
        <f>M9/L9*G9</f>
        <v>2.9999999999999996</v>
      </c>
    </row>
    <row r="10" spans="1:14" ht="11.25" customHeight="1" x14ac:dyDescent="0.2">
      <c r="B10" s="30" t="str">
        <f>ProcDataGenPre2012!B10</f>
        <v>ETCLEGROO-E</v>
      </c>
      <c r="C10" s="30" t="str">
        <f>ProcDataGenPre2012!C10</f>
        <v>GROOTVLEI</v>
      </c>
      <c r="D10" s="30" t="str">
        <f>ProcDataGenPre2012!D10</f>
        <v>PWRCLEGROO</v>
      </c>
      <c r="E10" s="30" t="str">
        <f>ProcDataGenPre2012!E10</f>
        <v>ELCC</v>
      </c>
      <c r="G10" s="30">
        <f>INDEX(DecomSchedule!$N$4:$N$19,MATCH(C10,DecomSchedule!$A$4:$A$19,0))</f>
        <v>3</v>
      </c>
      <c r="H10" s="30">
        <v>3</v>
      </c>
      <c r="I10" s="30">
        <v>0</v>
      </c>
      <c r="J10" s="30">
        <f t="shared" ref="J10:J25" si="0">M10/(N10+0.000000001)*2</f>
        <v>0.37999999987333327</v>
      </c>
      <c r="K10" s="30">
        <v>1</v>
      </c>
      <c r="L10" s="30">
        <f>INDEX(ProcDataGenPre2012!$AV10:$BZ10,1,MATCH($L$5,ProcDataGenPre2012!$AV$5:$BZ$5,0))</f>
        <v>0.56999999999999995</v>
      </c>
      <c r="M10" s="30">
        <f>INDEX(ProcDataGenPre2012!$AV10:$BZ10,1,MATCH($M$5,ProcDataGenPre2012!$AV$5:$BZ$5,0))</f>
        <v>0.56999999999999995</v>
      </c>
      <c r="N10" s="30">
        <f t="shared" ref="N10:N22" si="1">M10/L10*G10</f>
        <v>3</v>
      </c>
    </row>
    <row r="11" spans="1:14" ht="11.25" customHeight="1" x14ac:dyDescent="0.2">
      <c r="B11" s="30" t="str">
        <f>ProcDataGenPre2012!B11</f>
        <v>ETCLEKOMA-E</v>
      </c>
      <c r="C11" s="30" t="str">
        <f>ProcDataGenPre2012!C11</f>
        <v>KOMATI</v>
      </c>
      <c r="D11" s="30" t="str">
        <f>ProcDataGenPre2012!D11</f>
        <v>PWRCLEKOMA</v>
      </c>
      <c r="E11" s="30" t="str">
        <f>ProcDataGenPre2012!E11</f>
        <v>ELCC</v>
      </c>
      <c r="G11" s="30">
        <f>INDEX(DecomSchedule!$N$4:$N$19,MATCH(C11,DecomSchedule!$A$4:$A$19,0))</f>
        <v>4</v>
      </c>
      <c r="H11" s="30">
        <v>3</v>
      </c>
      <c r="I11" s="30">
        <v>0</v>
      </c>
      <c r="J11" s="30">
        <f t="shared" si="0"/>
        <v>0</v>
      </c>
      <c r="K11" s="30">
        <v>1</v>
      </c>
      <c r="L11" s="30">
        <f>INDEX(ProcDataGenPre2012!$AV11:$BZ11,1,MATCH($L$5,ProcDataGenPre2012!$AV$5:$BZ$5,0))</f>
        <v>0.20499999999999999</v>
      </c>
      <c r="M11" s="30">
        <f>INDEX(ProcDataGenPre2012!$AV11:$BZ11,1,MATCH($M$5,ProcDataGenPre2012!$AV$5:$BZ$5,0))</f>
        <v>0</v>
      </c>
      <c r="N11" s="30">
        <f t="shared" si="1"/>
        <v>0</v>
      </c>
    </row>
    <row r="12" spans="1:14" ht="11.25" customHeight="1" x14ac:dyDescent="0.2">
      <c r="B12" s="30" t="str">
        <f>ProcDataGenPre2012!B12</f>
        <v>ETCLEARNO-E</v>
      </c>
      <c r="C12" s="30" t="str">
        <f>ProcDataGenPre2012!C12</f>
        <v>ARNOT</v>
      </c>
      <c r="D12" s="30" t="str">
        <f>ProcDataGenPre2012!D12</f>
        <v>PWRCLEARNO</v>
      </c>
      <c r="E12" s="30" t="str">
        <f>ProcDataGenPre2012!E12</f>
        <v>ELCC</v>
      </c>
      <c r="G12" s="30">
        <f>INDEX(DecomSchedule!$N$4:$N$19,MATCH(C12,DecomSchedule!$A$4:$A$19,0))</f>
        <v>6</v>
      </c>
      <c r="H12" s="30">
        <v>3</v>
      </c>
      <c r="I12" s="30">
        <v>0</v>
      </c>
      <c r="J12" s="30">
        <f t="shared" si="0"/>
        <v>0.74399999987600007</v>
      </c>
      <c r="K12" s="30">
        <v>1</v>
      </c>
      <c r="L12" s="30">
        <f>INDEX(ProcDataGenPre2012!$AV12:$BZ12,1,MATCH($L$5,ProcDataGenPre2012!$AV$5:$BZ$5,0))</f>
        <v>2.2320000000000002</v>
      </c>
      <c r="M12" s="30">
        <f>INDEX(ProcDataGenPre2012!$AV12:$BZ12,1,MATCH($M$5,ProcDataGenPre2012!$AV$5:$BZ$5,0))</f>
        <v>2.2320000000000002</v>
      </c>
      <c r="N12" s="30">
        <f t="shared" si="1"/>
        <v>6</v>
      </c>
    </row>
    <row r="13" spans="1:14" ht="11.25" customHeight="1" x14ac:dyDescent="0.2">
      <c r="B13" s="30" t="str">
        <f>ProcDataGenPre2012!B13</f>
        <v>ETCLEDUVH-E</v>
      </c>
      <c r="C13" s="30" t="str">
        <f>ProcDataGenPre2012!C13</f>
        <v>DUVHA</v>
      </c>
      <c r="D13" s="30" t="str">
        <f>ProcDataGenPre2012!D13</f>
        <v>PWRCLEDUVH</v>
      </c>
      <c r="E13" s="30" t="str">
        <f>ProcDataGenPre2012!E13</f>
        <v>ELCC</v>
      </c>
      <c r="G13" s="30">
        <f>INDEX(DecomSchedule!$N$4:$N$19,MATCH(C13,DecomSchedule!$A$4:$A$19,0))</f>
        <v>5</v>
      </c>
      <c r="H13" s="30">
        <v>3</v>
      </c>
      <c r="I13" s="30">
        <v>0</v>
      </c>
      <c r="J13" s="30">
        <f t="shared" si="0"/>
        <v>1.1499999997699999</v>
      </c>
      <c r="K13" s="30">
        <v>1</v>
      </c>
      <c r="L13" s="30">
        <f>INDEX(ProcDataGenPre2012!$AV13:$BZ13,1,MATCH($L$5,ProcDataGenPre2012!$AV$5:$BZ$5,0))</f>
        <v>2.875</v>
      </c>
      <c r="M13" s="30">
        <f>INDEX(ProcDataGenPre2012!$AV13:$BZ13,1,MATCH($M$5,ProcDataGenPre2012!$AV$5:$BZ$5,0))</f>
        <v>2.875</v>
      </c>
      <c r="N13" s="30">
        <f t="shared" si="1"/>
        <v>5</v>
      </c>
    </row>
    <row r="14" spans="1:14" ht="11.25" customHeight="1" x14ac:dyDescent="0.2">
      <c r="B14" s="30" t="str">
        <f>ProcDataGenPre2012!B14</f>
        <v>ETCLEHEND-E</v>
      </c>
      <c r="C14" s="30" t="str">
        <f>ProcDataGenPre2012!C14</f>
        <v>HENDRINA</v>
      </c>
      <c r="D14" s="30" t="str">
        <f>ProcDataGenPre2012!D14</f>
        <v>PWRCLEHEND</v>
      </c>
      <c r="E14" s="30" t="str">
        <f>ProcDataGenPre2012!E14</f>
        <v>ELCC</v>
      </c>
      <c r="G14" s="30">
        <f>INDEX(DecomSchedule!$N$4:$N$19,MATCH(C14,DecomSchedule!$A$4:$A$19,0))</f>
        <v>7</v>
      </c>
      <c r="H14" s="30">
        <v>3</v>
      </c>
      <c r="I14" s="30">
        <v>0</v>
      </c>
      <c r="J14" s="30">
        <f t="shared" si="0"/>
        <v>0</v>
      </c>
      <c r="K14" s="30">
        <v>1</v>
      </c>
      <c r="L14" s="30">
        <f>INDEX(ProcDataGenPre2012!$AV14:$BZ14,1,MATCH($L$5,ProcDataGenPre2012!$AV$5:$BZ$5,0))</f>
        <v>1.2929999999999999</v>
      </c>
      <c r="M14" s="30">
        <f>INDEX(ProcDataGenPre2012!$AV14:$BZ14,1,MATCH($M$5,ProcDataGenPre2012!$AV$5:$BZ$5,0))</f>
        <v>0</v>
      </c>
      <c r="N14" s="30">
        <f t="shared" si="1"/>
        <v>0</v>
      </c>
    </row>
    <row r="15" spans="1:14" ht="11.25" customHeight="1" x14ac:dyDescent="0.2">
      <c r="B15" s="30" t="str">
        <f>ProcDataGenPre2012!B15</f>
        <v>ETCLEKEND-E</v>
      </c>
      <c r="C15" s="30" t="str">
        <f>ProcDataGenPre2012!C15</f>
        <v>KENDAL</v>
      </c>
      <c r="D15" s="30" t="str">
        <f>ProcDataGenPre2012!D15</f>
        <v>PWRCLEKEND</v>
      </c>
      <c r="E15" s="30" t="str">
        <f>ProcDataGenPre2012!E15</f>
        <v>ELCC</v>
      </c>
      <c r="G15" s="30">
        <f>INDEX(DecomSchedule!$N$4:$N$19,MATCH(C15,DecomSchedule!$A$4:$A$19,0))</f>
        <v>6</v>
      </c>
      <c r="H15" s="30">
        <v>3</v>
      </c>
      <c r="I15" s="30">
        <v>0</v>
      </c>
      <c r="J15" s="30">
        <f t="shared" si="0"/>
        <v>1.2799999997866667</v>
      </c>
      <c r="K15" s="30">
        <v>1</v>
      </c>
      <c r="L15" s="30">
        <f>INDEX(ProcDataGenPre2012!$AV15:$BZ15,1,MATCH($L$5,ProcDataGenPre2012!$AV$5:$BZ$5,0))</f>
        <v>3.84</v>
      </c>
      <c r="M15" s="30">
        <f>INDEX(ProcDataGenPre2012!$AV15:$BZ15,1,MATCH($M$5,ProcDataGenPre2012!$AV$5:$BZ$5,0))</f>
        <v>3.84</v>
      </c>
      <c r="N15" s="30">
        <f t="shared" si="1"/>
        <v>6</v>
      </c>
    </row>
    <row r="16" spans="1:14" ht="11.25" customHeight="1" x14ac:dyDescent="0.2">
      <c r="B16" s="30" t="str">
        <f>ProcDataGenPre2012!B16</f>
        <v>ETCLEKRIE-E</v>
      </c>
      <c r="C16" s="30" t="str">
        <f>ProcDataGenPre2012!C16</f>
        <v>KRIEL</v>
      </c>
      <c r="D16" s="30" t="str">
        <f>ProcDataGenPre2012!D16</f>
        <v>PWRCLEKRIE</v>
      </c>
      <c r="E16" s="30" t="str">
        <f>ProcDataGenPre2012!E16</f>
        <v>ELCC</v>
      </c>
      <c r="G16" s="30">
        <f>INDEX(DecomSchedule!$N$4:$N$19,MATCH(C16,DecomSchedule!$A$4:$A$19,0))</f>
        <v>6</v>
      </c>
      <c r="H16" s="30">
        <v>3</v>
      </c>
      <c r="I16" s="30">
        <v>0</v>
      </c>
      <c r="J16" s="30">
        <f t="shared" si="0"/>
        <v>0.94999999984166672</v>
      </c>
      <c r="K16" s="30">
        <v>1</v>
      </c>
      <c r="L16" s="30">
        <f>INDEX(ProcDataGenPre2012!$AV16:$BZ16,1,MATCH($L$5,ProcDataGenPre2012!$AV$5:$BZ$5,0))</f>
        <v>2.85</v>
      </c>
      <c r="M16" s="30">
        <f>INDEX(ProcDataGenPre2012!$AV16:$BZ16,1,MATCH($M$5,ProcDataGenPre2012!$AV$5:$BZ$5,0))</f>
        <v>2.85</v>
      </c>
      <c r="N16" s="30">
        <f t="shared" si="1"/>
        <v>6</v>
      </c>
    </row>
    <row r="17" spans="1:14" ht="11.25" customHeight="1" x14ac:dyDescent="0.2">
      <c r="B17" s="30" t="str">
        <f>ProcDataGenPre2012!B17</f>
        <v>ETCLELETH-E</v>
      </c>
      <c r="C17" s="30" t="str">
        <f>ProcDataGenPre2012!C17</f>
        <v>LETHABO</v>
      </c>
      <c r="D17" s="30" t="str">
        <f>ProcDataGenPre2012!D17</f>
        <v>PWRCLELETH</v>
      </c>
      <c r="E17" s="30" t="str">
        <f>ProcDataGenPre2012!E17</f>
        <v>ELCC</v>
      </c>
      <c r="G17" s="30">
        <f>INDEX(DecomSchedule!$N$4:$N$19,MATCH(C17,DecomSchedule!$A$4:$A$19,0))</f>
        <v>6</v>
      </c>
      <c r="H17" s="30">
        <v>3</v>
      </c>
      <c r="I17" s="30">
        <v>0</v>
      </c>
      <c r="J17" s="30">
        <f t="shared" si="0"/>
        <v>1.1859999998023332</v>
      </c>
      <c r="K17" s="30">
        <v>1</v>
      </c>
      <c r="L17" s="30">
        <f>INDEX(ProcDataGenPre2012!$AV17:$BZ17,1,MATCH($L$5,ProcDataGenPre2012!$AV$5:$BZ$5,0))</f>
        <v>3.5579999999999998</v>
      </c>
      <c r="M17" s="30">
        <f>INDEX(ProcDataGenPre2012!$AV17:$BZ17,1,MATCH($M$5,ProcDataGenPre2012!$AV$5:$BZ$5,0))</f>
        <v>3.5579999999999998</v>
      </c>
      <c r="N17" s="30">
        <f t="shared" si="1"/>
        <v>6</v>
      </c>
    </row>
    <row r="18" spans="1:14" ht="11.25" customHeight="1" x14ac:dyDescent="0.2">
      <c r="B18" s="30" t="str">
        <f>ProcDataGenPre2012!B18</f>
        <v>ETCLEMAJD-E</v>
      </c>
      <c r="C18" s="30" t="str">
        <f>ProcDataGenPre2012!C18</f>
        <v>MAJUBA DRY</v>
      </c>
      <c r="D18" s="30" t="str">
        <f>ProcDataGenPre2012!D18</f>
        <v>PWRCLEMAJU</v>
      </c>
      <c r="E18" s="30" t="str">
        <f>ProcDataGenPre2012!E18</f>
        <v>ELCC</v>
      </c>
      <c r="G18" s="30">
        <f>INDEX(DecomSchedule!$N$4:$N$19,MATCH(C18,DecomSchedule!$A$4:$A$19,0))</f>
        <v>3</v>
      </c>
      <c r="H18" s="30">
        <v>3</v>
      </c>
      <c r="I18" s="30">
        <v>0</v>
      </c>
      <c r="J18" s="30">
        <f t="shared" si="0"/>
        <v>1.2219999995926667</v>
      </c>
      <c r="K18" s="30">
        <v>1</v>
      </c>
      <c r="L18" s="30">
        <f>INDEX(ProcDataGenPre2012!$AV18:$BZ18,1,MATCH($L$5,ProcDataGenPre2012!$AV$5:$BZ$5,0))</f>
        <v>1.8330000000000002</v>
      </c>
      <c r="M18" s="30">
        <f>INDEX(ProcDataGenPre2012!$AV18:$BZ18,1,MATCH($M$5,ProcDataGenPre2012!$AV$5:$BZ$5,0))</f>
        <v>1.8330000000000002</v>
      </c>
      <c r="N18" s="30">
        <f t="shared" si="1"/>
        <v>3</v>
      </c>
    </row>
    <row r="19" spans="1:14" ht="11.25" customHeight="1" x14ac:dyDescent="0.2">
      <c r="B19" s="30" t="str">
        <f>ProcDataGenPre2012!B19</f>
        <v>ETCLEMAJW-E</v>
      </c>
      <c r="C19" s="30" t="str">
        <f>ProcDataGenPre2012!C19</f>
        <v>MAJUBA WET</v>
      </c>
      <c r="D19" s="30" t="str">
        <f>ProcDataGenPre2012!D19</f>
        <v>PWRCLEMAJU</v>
      </c>
      <c r="E19" s="30" t="str">
        <f>ProcDataGenPre2012!E19</f>
        <v>ELCC</v>
      </c>
      <c r="G19" s="30">
        <f>INDEX(DecomSchedule!$N$4:$N$19,MATCH(C19,DecomSchedule!$A$4:$A$19,0))</f>
        <v>3</v>
      </c>
      <c r="H19" s="30">
        <v>3</v>
      </c>
      <c r="I19" s="30">
        <v>0</v>
      </c>
      <c r="J19" s="30">
        <f t="shared" si="0"/>
        <v>1.3399999995533332</v>
      </c>
      <c r="K19" s="30">
        <v>1</v>
      </c>
      <c r="L19" s="30">
        <f>INDEX(ProcDataGenPre2012!$AV19:$BZ19,1,MATCH($L$5,ProcDataGenPre2012!$AV$5:$BZ$5,0))</f>
        <v>2.0099999999999998</v>
      </c>
      <c r="M19" s="30">
        <f>INDEX(ProcDataGenPre2012!$AV19:$BZ19,1,MATCH($M$5,ProcDataGenPre2012!$AV$5:$BZ$5,0))</f>
        <v>2.0099999999999998</v>
      </c>
      <c r="N19" s="30">
        <f t="shared" si="1"/>
        <v>3</v>
      </c>
    </row>
    <row r="20" spans="1:14" ht="11.25" customHeight="1" x14ac:dyDescent="0.2">
      <c r="B20" s="30" t="str">
        <f>ProcDataGenPre2012!B20</f>
        <v>ETCLEMATI-E</v>
      </c>
      <c r="C20" s="30" t="str">
        <f>ProcDataGenPre2012!C20</f>
        <v>MATIMBA</v>
      </c>
      <c r="D20" s="30" t="str">
        <f>ProcDataGenPre2012!D20</f>
        <v>PWRCLEMATI</v>
      </c>
      <c r="E20" s="30" t="str">
        <f>ProcDataGenPre2012!E20</f>
        <v>ELCC</v>
      </c>
      <c r="G20" s="30">
        <f>INDEX(DecomSchedule!$N$4:$N$19,MATCH(C20,DecomSchedule!$A$4:$A$19,0))</f>
        <v>6</v>
      </c>
      <c r="H20" s="30">
        <v>3</v>
      </c>
      <c r="I20" s="30">
        <v>0</v>
      </c>
      <c r="J20" s="30">
        <f t="shared" si="0"/>
        <v>1.229999999795</v>
      </c>
      <c r="K20" s="30">
        <v>1</v>
      </c>
      <c r="L20" s="30">
        <f>INDEX(ProcDataGenPre2012!$AV20:$BZ20,1,MATCH($L$5,ProcDataGenPre2012!$AV$5:$BZ$5,0))</f>
        <v>3.69</v>
      </c>
      <c r="M20" s="30">
        <f>INDEX(ProcDataGenPre2012!$AV20:$BZ20,1,MATCH($M$5,ProcDataGenPre2012!$AV$5:$BZ$5,0))</f>
        <v>3.69</v>
      </c>
      <c r="N20" s="30">
        <f t="shared" si="1"/>
        <v>6</v>
      </c>
    </row>
    <row r="21" spans="1:14" ht="11.25" customHeight="1" x14ac:dyDescent="0.2">
      <c r="B21" s="30" t="str">
        <f>ProcDataGenPre2012!B21</f>
        <v>ETCLEMATL-E</v>
      </c>
      <c r="C21" s="30" t="str">
        <f>ProcDataGenPre2012!C21</f>
        <v>MATLA</v>
      </c>
      <c r="D21" s="30" t="str">
        <f>ProcDataGenPre2012!D21</f>
        <v>PWRCLEMATL</v>
      </c>
      <c r="E21" s="30" t="str">
        <f>ProcDataGenPre2012!E21</f>
        <v>ELCC</v>
      </c>
      <c r="G21" s="30">
        <f>INDEX(DecomSchedule!$N$4:$N$19,MATCH(C21,DecomSchedule!$A$4:$A$19,0))</f>
        <v>6</v>
      </c>
      <c r="H21" s="30">
        <v>3</v>
      </c>
      <c r="I21" s="30">
        <v>0</v>
      </c>
      <c r="J21" s="30">
        <f t="shared" si="0"/>
        <v>1.1499999998083335</v>
      </c>
      <c r="K21" s="30">
        <v>1</v>
      </c>
      <c r="L21" s="30">
        <f>INDEX(ProcDataGenPre2012!$AV21:$BZ21,1,MATCH($L$5,ProcDataGenPre2012!$AV$5:$BZ$5,0))</f>
        <v>3.45</v>
      </c>
      <c r="M21" s="30">
        <f>INDEX(ProcDataGenPre2012!$AV21:$BZ21,1,MATCH($M$5,ProcDataGenPre2012!$AV$5:$BZ$5,0))</f>
        <v>3.45</v>
      </c>
      <c r="N21" s="30">
        <f t="shared" si="1"/>
        <v>6</v>
      </c>
    </row>
    <row r="22" spans="1:14" ht="11.25" customHeight="1" x14ac:dyDescent="0.2">
      <c r="B22" s="30" t="str">
        <f>ProcDataGenPre2012!B22</f>
        <v>ETCLETUTU-E</v>
      </c>
      <c r="C22" s="30" t="str">
        <f>ProcDataGenPre2012!C22</f>
        <v>TUTUKA</v>
      </c>
      <c r="D22" s="30" t="str">
        <f>ProcDataGenPre2012!D22</f>
        <v>PWRCLETUTU</v>
      </c>
      <c r="E22" s="30" t="str">
        <f>ProcDataGenPre2012!E22</f>
        <v>ELCC</v>
      </c>
      <c r="G22" s="30">
        <f>INDEX(DecomSchedule!$N$4:$N$19,MATCH(C22,DecomSchedule!$A$4:$A$19,0))</f>
        <v>6</v>
      </c>
      <c r="H22" s="30">
        <v>3</v>
      </c>
      <c r="I22" s="30">
        <v>0</v>
      </c>
      <c r="J22" s="30">
        <f t="shared" si="0"/>
        <v>1.1699999998049999</v>
      </c>
      <c r="K22" s="30">
        <v>1</v>
      </c>
      <c r="L22" s="30">
        <f>INDEX(ProcDataGenPre2012!$AV22:$BZ22,1,MATCH($L$5,ProcDataGenPre2012!$AV$5:$BZ$5,0))</f>
        <v>3.51</v>
      </c>
      <c r="M22" s="30">
        <f>INDEX(ProcDataGenPre2012!$AV22:$BZ22,1,MATCH($M$5,ProcDataGenPre2012!$AV$5:$BZ$5,0))</f>
        <v>3.51</v>
      </c>
      <c r="N22" s="30">
        <f t="shared" si="1"/>
        <v>6</v>
      </c>
    </row>
    <row r="23" spans="1:14" ht="11.25" customHeight="1" x14ac:dyDescent="0.2">
      <c r="B23" s="30" t="str">
        <f>ProcDataGenPre2012!B23</f>
        <v>ETCLEKELB-E</v>
      </c>
      <c r="C23" s="30" t="str">
        <f>ProcDataGenPre2012!C23</f>
        <v>KELVIN B</v>
      </c>
      <c r="D23" s="30" t="str">
        <f>ProcDataGenPre2012!D23</f>
        <v>PWRCLE</v>
      </c>
      <c r="E23" s="30" t="str">
        <f>ProcDataGenPre2012!E23</f>
        <v>ELCC</v>
      </c>
      <c r="G23" s="323">
        <v>3</v>
      </c>
      <c r="H23" s="30">
        <v>3</v>
      </c>
      <c r="I23" s="30">
        <v>0</v>
      </c>
      <c r="J23" s="30">
        <f t="shared" si="0"/>
        <v>0</v>
      </c>
      <c r="K23" s="30">
        <v>1</v>
      </c>
    </row>
    <row r="24" spans="1:14" ht="11.25" customHeight="1" x14ac:dyDescent="0.2">
      <c r="A24" s="33"/>
      <c r="B24" s="30" t="str">
        <f>ProcDataGenPre2012!B24</f>
        <v>ETCLEPFSS-E</v>
      </c>
      <c r="C24" s="30" t="str">
        <f>ProcDataGenPre2012!C24</f>
        <v>Sasol SSF Coal Plant</v>
      </c>
      <c r="D24" s="30" t="str">
        <f>ProcDataGenPre2012!D24</f>
        <v>UPSCLE</v>
      </c>
      <c r="E24" s="30" t="str">
        <f>ProcDataGenPre2012!E24</f>
        <v>UPSELC</v>
      </c>
      <c r="G24" s="30">
        <v>6</v>
      </c>
      <c r="H24" s="30">
        <v>3</v>
      </c>
      <c r="I24" s="30">
        <v>0</v>
      </c>
      <c r="J24" s="30">
        <f t="shared" si="0"/>
        <v>0</v>
      </c>
      <c r="K24" s="30">
        <v>1</v>
      </c>
    </row>
    <row r="25" spans="1:14" ht="11.25" customHeight="1" x14ac:dyDescent="0.2">
      <c r="B25" s="30" t="str">
        <f>ProcDataGenPre2012!B25</f>
        <v>ETCLEPFSI-E</v>
      </c>
      <c r="C25" s="30" t="str">
        <f>ProcDataGenPre2012!C25</f>
        <v>Sasol Infrachem Coal Plant</v>
      </c>
      <c r="D25" s="30" t="str">
        <f>ProcDataGenPre2012!D25</f>
        <v>INDCLE</v>
      </c>
      <c r="E25" s="30" t="str">
        <f>ProcDataGenPre2012!E25</f>
        <v>ICPELC</v>
      </c>
      <c r="G25" s="30">
        <v>3</v>
      </c>
      <c r="H25" s="30">
        <v>3</v>
      </c>
      <c r="I25" s="30">
        <v>0</v>
      </c>
      <c r="J25" s="30">
        <f t="shared" si="0"/>
        <v>8.5333333304888889E-2</v>
      </c>
      <c r="K25" s="30">
        <v>1</v>
      </c>
      <c r="L25" s="30">
        <f>INDEX(ProcDataGenPre2012!$AV25:$BZ25,1,MATCH($L$5,ProcDataGenPre2012!$AV$5:$BZ$5,0))</f>
        <v>0.128</v>
      </c>
      <c r="M25" s="30">
        <f>INDEX(ProcDataGenPre2012!$AV25:$BZ25,1,MATCH($M$5,ProcDataGenPre2012!$AV$5:$BZ$5,0))</f>
        <v>0.128</v>
      </c>
      <c r="N25" s="30">
        <v>3</v>
      </c>
    </row>
    <row r="26" spans="1:14" ht="11.25" customHeight="1" x14ac:dyDescent="0.2">
      <c r="B26" s="30" t="str">
        <f>ProcDataGenPre2012!B26</f>
        <v>ETODSGT-E</v>
      </c>
      <c r="C26" s="30" t="str">
        <f>ProcDataGenPre2012!C26</f>
        <v>OCGT liquid fuels Existing</v>
      </c>
      <c r="D26" s="30" t="str">
        <f>ProcDataGenPre2012!D26</f>
        <v>PWRODS</v>
      </c>
      <c r="E26" s="30" t="str">
        <f>ProcDataGenPre2012!E26</f>
        <v>ELCC</v>
      </c>
    </row>
    <row r="27" spans="1:14" ht="11.25" customHeight="1" x14ac:dyDescent="0.2">
      <c r="B27" s="30" t="str">
        <f>ProcDataGenPre2012!B27</f>
        <v>ERHYD-E</v>
      </c>
      <c r="C27" s="30" t="str">
        <f>ProcDataGenPre2012!C27</f>
        <v>Hydro Existing South Africa</v>
      </c>
      <c r="D27" s="30" t="str">
        <f>ProcDataGenPre2012!D27</f>
        <v>PWRHYD</v>
      </c>
      <c r="E27" s="30" t="str">
        <f>ProcDataGenPre2012!E27</f>
        <v>ELCC</v>
      </c>
    </row>
    <row r="28" spans="1:14" ht="11.25" customHeight="1" x14ac:dyDescent="0.2">
      <c r="B28" s="30" t="str">
        <f>ProcDataGenPre2012!B28</f>
        <v>ERHYD-I</v>
      </c>
      <c r="C28" s="30" t="str">
        <f>ProcDataGenPre2012!C28</f>
        <v>Hydro Existing Region</v>
      </c>
      <c r="E28" s="30" t="str">
        <f>ProcDataGenPre2012!E28</f>
        <v>ELCC</v>
      </c>
    </row>
    <row r="29" spans="1:14" ht="11.25" customHeight="1" x14ac:dyDescent="0.2">
      <c r="B29" s="30" t="str">
        <f>ProcDataGenPre2012!B29</f>
        <v>ETNUC-E</v>
      </c>
      <c r="C29" s="30" t="str">
        <f>ProcDataGenPre2012!C29</f>
        <v>Nuclear Existing</v>
      </c>
      <c r="D29" s="30" t="str">
        <f>ProcDataGenPre2012!D29</f>
        <v>PWRNUC</v>
      </c>
      <c r="E29" s="30" t="str">
        <f>ProcDataGenPre2012!E29</f>
        <v>ELCC</v>
      </c>
    </row>
    <row r="30" spans="1:14" ht="11.25" customHeight="1" x14ac:dyDescent="0.2">
      <c r="B30" s="30" t="str">
        <f>ProcDataGenPre2012!B30</f>
        <v>EPTSTO-E</v>
      </c>
      <c r="C30" s="30" t="str">
        <f>ProcDataGenPre2012!C30</f>
        <v>Pump Storage All Existing - Single Storage Tech</v>
      </c>
      <c r="D30" s="30" t="str">
        <f>ProcDataGenPre2012!D30</f>
        <v>ELCC</v>
      </c>
      <c r="E30" s="30" t="str">
        <f>ProcDataGenPre2012!E30</f>
        <v>ELCC</v>
      </c>
    </row>
    <row r="31" spans="1:14" ht="11.25" customHeight="1" x14ac:dyDescent="0.2">
      <c r="A31" s="33" t="str">
        <f>ProcDataGen2012On!A8</f>
        <v>* New Power Plants - Grid</v>
      </c>
    </row>
    <row r="32" spans="1:14" ht="11.25" customHeight="1" x14ac:dyDescent="0.2">
      <c r="B32" s="30" t="str">
        <f>ProcDataGen2012On!B9</f>
        <v>ETCLEMEDU-N</v>
      </c>
      <c r="C32" s="30" t="str">
        <f>ProcDataGen2012On!C9</f>
        <v>MEDUPI</v>
      </c>
      <c r="D32" s="30" t="str">
        <f>ProcDataGen2012On!D9</f>
        <v>PWRCLEMEDU</v>
      </c>
      <c r="E32" s="30" t="str">
        <f>ProcDataGen2012On!E8</f>
        <v>ELCC</v>
      </c>
      <c r="G32" s="30">
        <v>6</v>
      </c>
      <c r="H32" s="30">
        <v>3</v>
      </c>
      <c r="I32" s="30">
        <v>0</v>
      </c>
      <c r="J32" s="30">
        <f>0.722*2</f>
        <v>1.444</v>
      </c>
      <c r="K32" s="30">
        <v>1</v>
      </c>
    </row>
    <row r="33" spans="2:11" ht="11.25" customHeight="1" x14ac:dyDescent="0.2">
      <c r="B33" s="30" t="str">
        <f>ProcDataGen2012On!B10</f>
        <v>ETCLEKUSI-N</v>
      </c>
      <c r="C33" s="30" t="str">
        <f>ProcDataGen2012On!C10</f>
        <v>KUSILE</v>
      </c>
      <c r="D33" s="30" t="str">
        <f>ProcDataGen2012On!D10</f>
        <v>PWRCLEKUSI</v>
      </c>
      <c r="E33" s="30" t="str">
        <f>ProcDataGen2012On!E9</f>
        <v>ELCC</v>
      </c>
      <c r="G33" s="30">
        <v>6</v>
      </c>
      <c r="H33" s="30">
        <v>3</v>
      </c>
      <c r="I33" s="30">
        <v>0</v>
      </c>
      <c r="J33" s="30">
        <f>0.722*2</f>
        <v>1.444</v>
      </c>
      <c r="K33" s="30">
        <v>1</v>
      </c>
    </row>
    <row r="34" spans="2:11" ht="11.25" customHeight="1" x14ac:dyDescent="0.2">
      <c r="B34" s="30" t="str">
        <f>ProcDataGen2012On!B11</f>
        <v>ETCLEWATE-N</v>
      </c>
      <c r="C34" s="30" t="str">
        <f>ProcDataGen2012On!C11</f>
        <v>Generic Waterberg Coal Plant</v>
      </c>
      <c r="D34" s="30" t="str">
        <f>ProcDataGen2012On!D11</f>
        <v>PWRCLEMEDU</v>
      </c>
      <c r="E34" s="30" t="str">
        <f>ProcDataGen2012On!E10</f>
        <v>ELCC</v>
      </c>
    </row>
    <row r="35" spans="2:11" ht="11.25" customHeight="1" x14ac:dyDescent="0.2">
      <c r="B35" s="30" t="str">
        <f>ProcDataGen2012On!B13</f>
        <v>EPTSTO-N</v>
      </c>
      <c r="C35" s="30" t="str">
        <f>ProcDataGen2012On!C13</f>
        <v>Pumped Storage New Ingula - Single Storage Tech</v>
      </c>
      <c r="D35" s="30" t="str">
        <f>ProcDataGen2012On!D13</f>
        <v>ELCC</v>
      </c>
      <c r="E35" s="30" t="str">
        <f>ProcDataGen2012On!E13</f>
        <v>ELCC</v>
      </c>
    </row>
    <row r="36" spans="2:11" ht="11.25" customHeight="1" x14ac:dyDescent="0.2">
      <c r="B36" s="30" t="str">
        <f>ProcDataGen2012On!B14</f>
        <v>ETODSGT-N</v>
      </c>
      <c r="C36" s="30" t="str">
        <f>ProcDataGen2012On!C14</f>
        <v>DOE Peakers</v>
      </c>
      <c r="D36" s="30" t="str">
        <f>ProcDataGen2012On!D14</f>
        <v>PWRODS</v>
      </c>
      <c r="E36" s="30" t="str">
        <f>ProcDataGen2012On!E14</f>
        <v>ELCC</v>
      </c>
    </row>
    <row r="37" spans="2:11" ht="11.25" customHeight="1" x14ac:dyDescent="0.2">
      <c r="B37" s="30" t="str">
        <f>ProcDataGen2012On!B15</f>
        <v>ETCLDFB-N</v>
      </c>
      <c r="C37" s="30" t="str">
        <f>ProcDataGen2012On!C15</f>
        <v>Fluidised Bed Combustion Coal</v>
      </c>
      <c r="D37" s="30" t="str">
        <f>ProcDataGen2012On!D15</f>
        <v>PWRCLD</v>
      </c>
      <c r="E37" s="30" t="str">
        <f>ProcDataGen2012On!E15</f>
        <v>ELCC</v>
      </c>
    </row>
    <row r="38" spans="2:11" ht="11.25" customHeight="1" x14ac:dyDescent="0.2">
      <c r="B38" s="30" t="str">
        <f>ProcDataGen2012On!B16</f>
        <v>ERHYD-N</v>
      </c>
      <c r="C38" s="30" t="str">
        <f>ProcDataGen2012On!C16</f>
        <v>Micro hydro</v>
      </c>
      <c r="D38" s="30" t="str">
        <f>ProcDataGen2012On!D16</f>
        <v>PWRHYD</v>
      </c>
      <c r="E38" s="30" t="str">
        <f>ProcDataGen2012On!E16</f>
        <v>ELCC</v>
      </c>
    </row>
    <row r="39" spans="2:11" ht="11.25" customHeight="1" x14ac:dyDescent="0.2">
      <c r="B39" s="30" t="str">
        <f>ProcDataGen2012On!B17</f>
        <v>ETNUC-N</v>
      </c>
      <c r="C39" s="30" t="str">
        <f>ProcDataGen2012On!C17</f>
        <v>Nuclear Mid</v>
      </c>
      <c r="D39" s="30" t="str">
        <f>ProcDataGen2012On!D17</f>
        <v>PWRNUC</v>
      </c>
      <c r="E39" s="30" t="str">
        <f>ProcDataGen2012On!E17</f>
        <v>ELCC</v>
      </c>
    </row>
    <row r="40" spans="2:11" ht="11.25" customHeight="1" x14ac:dyDescent="0.2">
      <c r="B40" s="30" t="str">
        <f>ProcDataGen2012On!B18</f>
        <v>ERSOLTC09-N</v>
      </c>
      <c r="C40" s="30" t="str">
        <f>ProcDataGen2012On!C18</f>
        <v>Solar Central Receiver 09 hrs storage</v>
      </c>
      <c r="D40" s="30" t="str">
        <f>ProcDataGen2012On!D18</f>
        <v>PWRSOL</v>
      </c>
      <c r="E40" s="30" t="str">
        <f>ProcDataGen2012On!E18</f>
        <v>ELCC</v>
      </c>
    </row>
    <row r="41" spans="2:11" ht="11.25" customHeight="1" x14ac:dyDescent="0.2">
      <c r="B41" s="30" t="str">
        <f>ProcDataGen2012On!B19</f>
        <v>ERSOLPCF-N</v>
      </c>
      <c r="C41" s="30" t="str">
        <f>ProcDataGen2012On!C19</f>
        <v>Solar PV Fixed</v>
      </c>
      <c r="D41" s="30" t="str">
        <f>ProcDataGen2012On!D19</f>
        <v>PWRSOL</v>
      </c>
      <c r="E41" s="30" t="str">
        <f>ProcDataGen2012On!E19</f>
        <v>ELCC</v>
      </c>
    </row>
    <row r="42" spans="2:11" ht="11.25" customHeight="1" x14ac:dyDescent="0.2">
      <c r="B42" s="30" t="str">
        <f>ProcDataGen2012On!B20</f>
        <v>ERSOLPCT-N</v>
      </c>
      <c r="C42" s="30" t="str">
        <f>ProcDataGen2012On!C20</f>
        <v>Solar PV tracking</v>
      </c>
      <c r="D42" s="30" t="str">
        <f>ProcDataGen2012On!D20</f>
        <v>PWRSOL</v>
      </c>
      <c r="E42" s="30" t="str">
        <f>ProcDataGen2012On!E20</f>
        <v>ELCC</v>
      </c>
    </row>
    <row r="43" spans="2:11" ht="11.25" customHeight="1" x14ac:dyDescent="0.2">
      <c r="B43" s="30" t="str">
        <f>ProcDataGen2012On!B21</f>
        <v>ERWNDH-N</v>
      </c>
      <c r="C43" s="30" t="str">
        <f>ProcDataGen2012On!C21</f>
        <v>Wind</v>
      </c>
      <c r="D43" s="30" t="str">
        <f>ProcDataGen2012On!D21</f>
        <v>PWRWND</v>
      </c>
      <c r="E43" s="30" t="str">
        <f>ProcDataGen2012On!E21</f>
        <v>ELCC</v>
      </c>
    </row>
    <row r="44" spans="2:11" ht="11.25" customHeight="1" x14ac:dyDescent="0.2">
      <c r="B44" s="30" t="str">
        <f>ProcDataGen2012On!B22</f>
        <v>ERHYDGIW-I</v>
      </c>
      <c r="C44" s="30" t="str">
        <f>ProcDataGen2012On!C22</f>
        <v>Imports from Region</v>
      </c>
      <c r="E44" s="30" t="str">
        <f>ProcDataGen2012On!E22</f>
        <v>ELCC</v>
      </c>
    </row>
    <row r="45" spans="2:11" ht="11.25" customHeight="1" x14ac:dyDescent="0.2">
      <c r="B45" s="30" t="str">
        <f>ProcDataGen2012On!B23</f>
        <v>ETGICGT-N</v>
      </c>
      <c r="C45" s="30" t="str">
        <f>ProcDataGen2012On!C23</f>
        <v>Open Cycle Gas Turbine - LNG</v>
      </c>
      <c r="D45" s="30" t="str">
        <f>ProcDataGen2012On!D23</f>
        <v>PWRGIC</v>
      </c>
      <c r="E45" s="30" t="str">
        <f>ProcDataGen2012On!E23</f>
        <v>ELCC</v>
      </c>
      <c r="J45" s="30">
        <v>2</v>
      </c>
      <c r="K45" s="30">
        <v>1</v>
      </c>
    </row>
    <row r="46" spans="2:11" ht="11.25" customHeight="1" x14ac:dyDescent="0.2">
      <c r="B46" s="30" t="str">
        <f>ProcDataGen2012On!B25</f>
        <v>ETGICCC-N</v>
      </c>
      <c r="C46" s="30" t="str">
        <f>ProcDataGen2012On!C25</f>
        <v>Combined Cycle Gas Turbine - LNG</v>
      </c>
      <c r="D46" s="30" t="str">
        <f>ProcDataGen2012On!D25</f>
        <v>PWRGIC</v>
      </c>
      <c r="E46" s="30" t="str">
        <f>ProcDataGen2012On!E25</f>
        <v>ELCC</v>
      </c>
      <c r="J46" s="30">
        <v>2</v>
      </c>
      <c r="K46" s="30">
        <v>1</v>
      </c>
    </row>
    <row r="47" spans="2:11" ht="11.25" customHeight="1" x14ac:dyDescent="0.2">
      <c r="B47" s="30" t="str">
        <f>ProcDataGen2012On!B27</f>
        <v>ETGICEN-N</v>
      </c>
      <c r="C47" s="30" t="str">
        <f>ProcDataGen2012On!C27</f>
        <v>Gas Engines - LNG</v>
      </c>
      <c r="D47" s="30" t="str">
        <f>ProcDataGen2012On!D27</f>
        <v>PWRGIC</v>
      </c>
      <c r="E47" s="30" t="str">
        <f>ProcDataGen2012On!E27</f>
        <v>ELCC</v>
      </c>
      <c r="J47" s="30">
        <v>2</v>
      </c>
      <c r="K47" s="30">
        <v>1</v>
      </c>
    </row>
    <row r="48" spans="2:11" ht="11.25" customHeight="1" x14ac:dyDescent="0.2">
      <c r="B48" s="30" t="str">
        <f>ProcDataGen2012On!B28</f>
        <v>ERBIO-N</v>
      </c>
      <c r="C48" s="30" t="str">
        <f>ProcDataGen2012On!C28</f>
        <v>Biomass municipal waste</v>
      </c>
      <c r="D48" s="30" t="str">
        <f>ProcDataGen2012On!D28</f>
        <v>PWRBIO</v>
      </c>
      <c r="E48" s="30" t="str">
        <f>ProcDataGen2012On!E28</f>
        <v>ELCC</v>
      </c>
    </row>
    <row r="49" spans="1:5" ht="11.25" customHeight="1" x14ac:dyDescent="0.2">
      <c r="B49" s="30" t="str">
        <f>ProcDataGen2012On!B29</f>
        <v>ERBIG-N</v>
      </c>
      <c r="C49" s="30" t="str">
        <f>ProcDataGen2012On!C29</f>
        <v>Landfill gas</v>
      </c>
      <c r="D49" s="30" t="str">
        <f>ProcDataGen2012On!D29</f>
        <v>PWRBIG</v>
      </c>
      <c r="E49" s="30" t="str">
        <f>ProcDataGen2012On!E29</f>
        <v>ELCC</v>
      </c>
    </row>
    <row r="50" spans="1:5" ht="11.25" customHeight="1" x14ac:dyDescent="0.2">
      <c r="B50" s="30" t="str">
        <f>ProcDataGen2012On!B30</f>
        <v>ESTSUTL</v>
      </c>
      <c r="C50" s="30" t="str">
        <f>ProcDataGen2012On!C30</f>
        <v>Utility Scale Storage - 4hrs</v>
      </c>
      <c r="D50" s="30" t="str">
        <f>ProcDataGen2012On!D30</f>
        <v>ELCC</v>
      </c>
      <c r="E50" s="30" t="str">
        <f>ProcDataGen2012On!E30</f>
        <v>ELCC</v>
      </c>
    </row>
    <row r="51" spans="1:5" ht="11.25" customHeight="1" x14ac:dyDescent="0.2">
      <c r="A51" s="33" t="str">
        <f>ProcDataGen2012On!A31</f>
        <v>* New Power Plants - On-site</v>
      </c>
    </row>
    <row r="52" spans="1:5" ht="11.25" customHeight="1" x14ac:dyDescent="0.2">
      <c r="B52" s="30" t="str">
        <f>ProcDataGen2012On!B34</f>
        <v>ERSOLPRC-N</v>
      </c>
      <c r="C52" s="30" t="str">
        <f>ProcDataGen2012On!C34</f>
        <v>Solar PV rooftop commercial</v>
      </c>
      <c r="D52" s="30" t="str">
        <f>ProcDataGen2012On!D34</f>
        <v>PWRSOL</v>
      </c>
      <c r="E52" s="30" t="str">
        <f>ProcDataGen2012On!E34</f>
        <v>COMELC</v>
      </c>
    </row>
    <row r="53" spans="1:5" ht="11.25" customHeight="1" x14ac:dyDescent="0.2">
      <c r="B53" s="30" t="str">
        <f>ProcDataGen2012On!B35</f>
        <v>ERSOLPRR-N</v>
      </c>
      <c r="C53" s="30" t="str">
        <f>ProcDataGen2012On!C35</f>
        <v>Solar PV rooftop residential</v>
      </c>
      <c r="D53" s="30" t="str">
        <f>ProcDataGen2012On!D35</f>
        <v>PWRSOL</v>
      </c>
      <c r="E53" s="30" t="str">
        <f>ProcDataGen2012On!E35</f>
        <v>RESELC</v>
      </c>
    </row>
    <row r="54" spans="1:5" ht="11.25" customHeight="1" x14ac:dyDescent="0.2">
      <c r="B54" s="30" t="str">
        <f>ProcDataGen2012On!B36</f>
        <v>ERSOLPRI-N</v>
      </c>
      <c r="C54" s="30" t="str">
        <f>ProcDataGen2012On!C36</f>
        <v>Solar PV rooftop Industry</v>
      </c>
      <c r="D54" s="30" t="str">
        <f>ProcDataGen2012On!D36</f>
        <v>PWRSOL</v>
      </c>
      <c r="E54" s="30" t="str">
        <f>ProcDataGen2012On!E36</f>
        <v>INDELC</v>
      </c>
    </row>
    <row r="55" spans="1:5" ht="11.25" customHeight="1" x14ac:dyDescent="0.2">
      <c r="B55" s="30" t="str">
        <f>ProcDataGen2012On!B37</f>
        <v>ETGASENSS-N</v>
      </c>
      <c r="C55" s="30" t="str">
        <f>ProcDataGen2012On!C37</f>
        <v xml:space="preserve">Sasol SSF Gas Plant </v>
      </c>
      <c r="D55" s="30" t="str">
        <f>ProcDataGen2012On!D37</f>
        <v>PWRGAS</v>
      </c>
      <c r="E55" s="30" t="str">
        <f>ProcDataGen2012On!E37</f>
        <v>UPSELC</v>
      </c>
    </row>
    <row r="56" spans="1:5" ht="11.25" customHeight="1" x14ac:dyDescent="0.2">
      <c r="B56" s="30" t="str">
        <f>ProcDataGen2012On!B38</f>
        <v>ETGASENSI-N</v>
      </c>
      <c r="C56" s="30" t="str">
        <f>ProcDataGen2012On!C38</f>
        <v xml:space="preserve">Sasol Infrachem Gas Plant </v>
      </c>
      <c r="D56" s="30" t="str">
        <f>ProcDataGen2012On!D38</f>
        <v>PWRGAS</v>
      </c>
      <c r="E56" s="30" t="str">
        <f>ProcDataGen2012On!E38</f>
        <v>ICPELC</v>
      </c>
    </row>
  </sheetData>
  <pageMargins left="0.75" right="0.75" top="1" bottom="1" header="0.5" footer="0.5"/>
  <pageSetup paperSize="9" orientation="landscape" horizontalDpi="120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01BC8-B16D-433C-92E3-9713FDEC1FE5}">
  <sheetPr codeName="Sheet45">
    <tabColor theme="8"/>
  </sheetPr>
  <dimension ref="A1:G56"/>
  <sheetViews>
    <sheetView workbookViewId="0">
      <selection activeCell="E7" sqref="E7"/>
    </sheetView>
  </sheetViews>
  <sheetFormatPr defaultColWidth="9.140625" defaultRowHeight="11.25" customHeight="1" x14ac:dyDescent="0.2"/>
  <cols>
    <col min="1" max="1" width="12.28515625" style="30" customWidth="1"/>
    <col min="2" max="2" width="15.28515625" style="30" customWidth="1"/>
    <col min="3" max="3" width="36.140625" style="30" customWidth="1"/>
    <col min="4" max="4" width="12.28515625" style="30" customWidth="1"/>
    <col min="5" max="5" width="10.140625" style="30" customWidth="1"/>
    <col min="6" max="6" width="11.28515625" style="30" customWidth="1"/>
    <col min="7" max="7" width="11.140625" style="30" customWidth="1"/>
    <col min="8" max="16384" width="9.140625" style="30"/>
  </cols>
  <sheetData>
    <row r="1" spans="1:7" ht="11.25" customHeight="1" x14ac:dyDescent="0.2">
      <c r="A1" s="47"/>
      <c r="B1" s="9"/>
    </row>
    <row r="2" spans="1:7" ht="11.25" customHeight="1" x14ac:dyDescent="0.2">
      <c r="A2" s="45"/>
    </row>
    <row r="3" spans="1:7" ht="34.5" customHeight="1" x14ac:dyDescent="0.2">
      <c r="F3" s="59" t="s">
        <v>1852</v>
      </c>
      <c r="G3" s="59" t="s">
        <v>1853</v>
      </c>
    </row>
    <row r="4" spans="1:7" ht="21.75" customHeight="1" x14ac:dyDescent="0.2">
      <c r="D4" s="58"/>
      <c r="E4" s="58"/>
      <c r="F4" s="30" t="s">
        <v>1854</v>
      </c>
      <c r="G4" s="30" t="s">
        <v>1855</v>
      </c>
    </row>
    <row r="5" spans="1:7" ht="16.5" customHeight="1" x14ac:dyDescent="0.2">
      <c r="F5" s="30" t="s">
        <v>119</v>
      </c>
      <c r="G5" s="30" t="s">
        <v>119</v>
      </c>
    </row>
    <row r="6" spans="1:7" ht="17.25" customHeight="1" x14ac:dyDescent="0.2">
      <c r="E6" s="30" t="s">
        <v>2451</v>
      </c>
    </row>
    <row r="7" spans="1:7" ht="21.75" customHeight="1" x14ac:dyDescent="0.2">
      <c r="B7" s="47" t="s">
        <v>2411</v>
      </c>
      <c r="C7" s="47" t="s">
        <v>2423</v>
      </c>
      <c r="D7" s="47" t="s">
        <v>2421</v>
      </c>
      <c r="E7" s="47" t="s">
        <v>2422</v>
      </c>
      <c r="F7" s="30" t="str">
        <f>IFERROR(REPLACE(F4,SEARCH("-",F4),1,"~"),F4)</f>
        <v>ACT_UPS~UP</v>
      </c>
      <c r="G7" s="30" t="str">
        <f>IFERROR(REPLACE(G4,SEARCH("-",G4),1,"~"),G4)</f>
        <v>ACT_UPS~LO</v>
      </c>
    </row>
    <row r="8" spans="1:7" ht="11.25" customHeight="1" x14ac:dyDescent="0.2">
      <c r="A8" s="33" t="str">
        <f>ProcDataGenPre2012!B8</f>
        <v>* Existing Power Plants</v>
      </c>
      <c r="E8" s="36"/>
    </row>
    <row r="9" spans="1:7" ht="11.25" customHeight="1" x14ac:dyDescent="0.25">
      <c r="B9" s="30" t="str">
        <f>ProcDataGenPre2012!B9</f>
        <v>ETCLECAMD-E</v>
      </c>
      <c r="C9" s="30" t="str">
        <f>ProcDataGenPre2012!C9</f>
        <v>CAMDEN</v>
      </c>
      <c r="D9" s="30" t="str">
        <f>ProcDataGenPre2012!D9</f>
        <v>PWRCLECAMD</v>
      </c>
      <c r="E9" s="30" t="str">
        <f>ProcDataGenPre2012!E9</f>
        <v>ELCC</v>
      </c>
      <c r="F9" s="44">
        <v>0.02</v>
      </c>
      <c r="G9" s="44">
        <v>0.02</v>
      </c>
    </row>
    <row r="10" spans="1:7" ht="11.25" customHeight="1" x14ac:dyDescent="0.2">
      <c r="B10" s="30" t="str">
        <f>ProcDataGenPre2012!B10</f>
        <v>ETCLEGROO-E</v>
      </c>
      <c r="C10" s="30" t="str">
        <f>ProcDataGenPre2012!C10</f>
        <v>GROOTVLEI</v>
      </c>
      <c r="D10" s="30" t="str">
        <f>ProcDataGenPre2012!D10</f>
        <v>PWRCLEGROO</v>
      </c>
      <c r="E10" s="30" t="str">
        <f>ProcDataGenPre2012!E10</f>
        <v>ELCC</v>
      </c>
      <c r="F10" s="30">
        <f>F$9</f>
        <v>0.02</v>
      </c>
      <c r="G10" s="30">
        <f>G$9</f>
        <v>0.02</v>
      </c>
    </row>
    <row r="11" spans="1:7" ht="11.25" customHeight="1" x14ac:dyDescent="0.2">
      <c r="B11" s="30" t="str">
        <f>ProcDataGenPre2012!B11</f>
        <v>ETCLEKOMA-E</v>
      </c>
      <c r="C11" s="30" t="str">
        <f>ProcDataGenPre2012!C11</f>
        <v>KOMATI</v>
      </c>
      <c r="D11" s="30" t="str">
        <f>ProcDataGenPre2012!D11</f>
        <v>PWRCLEKOMA</v>
      </c>
      <c r="E11" s="30" t="str">
        <f>ProcDataGenPre2012!E11</f>
        <v>ELCC</v>
      </c>
      <c r="F11" s="30">
        <f t="shared" ref="F11:G23" si="0">F$9</f>
        <v>0.02</v>
      </c>
      <c r="G11" s="30">
        <f t="shared" si="0"/>
        <v>0.02</v>
      </c>
    </row>
    <row r="12" spans="1:7" ht="11.25" customHeight="1" x14ac:dyDescent="0.2">
      <c r="B12" s="30" t="str">
        <f>ProcDataGenPre2012!B12</f>
        <v>ETCLEARNO-E</v>
      </c>
      <c r="C12" s="30" t="str">
        <f>ProcDataGenPre2012!C12</f>
        <v>ARNOT</v>
      </c>
      <c r="D12" s="30" t="str">
        <f>ProcDataGenPre2012!D12</f>
        <v>PWRCLEARNO</v>
      </c>
      <c r="E12" s="30" t="str">
        <f>ProcDataGenPre2012!E12</f>
        <v>ELCC</v>
      </c>
      <c r="F12" s="30">
        <f t="shared" si="0"/>
        <v>0.02</v>
      </c>
      <c r="G12" s="30">
        <f t="shared" si="0"/>
        <v>0.02</v>
      </c>
    </row>
    <row r="13" spans="1:7" ht="11.25" customHeight="1" x14ac:dyDescent="0.2">
      <c r="B13" s="30" t="str">
        <f>ProcDataGenPre2012!B13</f>
        <v>ETCLEDUVH-E</v>
      </c>
      <c r="C13" s="30" t="str">
        <f>ProcDataGenPre2012!C13</f>
        <v>DUVHA</v>
      </c>
      <c r="D13" s="30" t="str">
        <f>ProcDataGenPre2012!D13</f>
        <v>PWRCLEDUVH</v>
      </c>
      <c r="E13" s="30" t="str">
        <f>ProcDataGenPre2012!E13</f>
        <v>ELCC</v>
      </c>
      <c r="F13" s="30">
        <f t="shared" si="0"/>
        <v>0.02</v>
      </c>
      <c r="G13" s="30">
        <f t="shared" si="0"/>
        <v>0.02</v>
      </c>
    </row>
    <row r="14" spans="1:7" ht="11.25" customHeight="1" x14ac:dyDescent="0.2">
      <c r="B14" s="30" t="str">
        <f>ProcDataGenPre2012!B14</f>
        <v>ETCLEHEND-E</v>
      </c>
      <c r="C14" s="30" t="str">
        <f>ProcDataGenPre2012!C14</f>
        <v>HENDRINA</v>
      </c>
      <c r="D14" s="30" t="str">
        <f>ProcDataGenPre2012!D14</f>
        <v>PWRCLEHEND</v>
      </c>
      <c r="E14" s="30" t="str">
        <f>ProcDataGenPre2012!E14</f>
        <v>ELCC</v>
      </c>
      <c r="F14" s="30">
        <f t="shared" si="0"/>
        <v>0.02</v>
      </c>
      <c r="G14" s="30">
        <f t="shared" si="0"/>
        <v>0.02</v>
      </c>
    </row>
    <row r="15" spans="1:7" ht="11.25" customHeight="1" x14ac:dyDescent="0.2">
      <c r="B15" s="30" t="str">
        <f>ProcDataGenPre2012!B15</f>
        <v>ETCLEKEND-E</v>
      </c>
      <c r="C15" s="30" t="str">
        <f>ProcDataGenPre2012!C15</f>
        <v>KENDAL</v>
      </c>
      <c r="D15" s="30" t="str">
        <f>ProcDataGenPre2012!D15</f>
        <v>PWRCLEKEND</v>
      </c>
      <c r="E15" s="30" t="str">
        <f>ProcDataGenPre2012!E15</f>
        <v>ELCC</v>
      </c>
      <c r="F15" s="30">
        <f t="shared" si="0"/>
        <v>0.02</v>
      </c>
      <c r="G15" s="30">
        <f t="shared" si="0"/>
        <v>0.02</v>
      </c>
    </row>
    <row r="16" spans="1:7" ht="11.25" customHeight="1" x14ac:dyDescent="0.2">
      <c r="B16" s="30" t="str">
        <f>ProcDataGenPre2012!B16</f>
        <v>ETCLEKRIE-E</v>
      </c>
      <c r="C16" s="30" t="str">
        <f>ProcDataGenPre2012!C16</f>
        <v>KRIEL</v>
      </c>
      <c r="D16" s="30" t="str">
        <f>ProcDataGenPre2012!D16</f>
        <v>PWRCLEKRIE</v>
      </c>
      <c r="E16" s="30" t="str">
        <f>ProcDataGenPre2012!E16</f>
        <v>ELCC</v>
      </c>
      <c r="F16" s="30">
        <f t="shared" si="0"/>
        <v>0.02</v>
      </c>
      <c r="G16" s="30">
        <f t="shared" si="0"/>
        <v>0.02</v>
      </c>
    </row>
    <row r="17" spans="1:7" ht="11.25" customHeight="1" x14ac:dyDescent="0.2">
      <c r="B17" s="30" t="str">
        <f>ProcDataGenPre2012!B17</f>
        <v>ETCLELETH-E</v>
      </c>
      <c r="C17" s="30" t="str">
        <f>ProcDataGenPre2012!C17</f>
        <v>LETHABO</v>
      </c>
      <c r="D17" s="30" t="str">
        <f>ProcDataGenPre2012!D17</f>
        <v>PWRCLELETH</v>
      </c>
      <c r="E17" s="30" t="str">
        <f>ProcDataGenPre2012!E17</f>
        <v>ELCC</v>
      </c>
      <c r="F17" s="30">
        <f t="shared" si="0"/>
        <v>0.02</v>
      </c>
      <c r="G17" s="30">
        <f t="shared" si="0"/>
        <v>0.02</v>
      </c>
    </row>
    <row r="18" spans="1:7" ht="11.25" customHeight="1" x14ac:dyDescent="0.2">
      <c r="B18" s="30" t="str">
        <f>ProcDataGenPre2012!B18</f>
        <v>ETCLEMAJD-E</v>
      </c>
      <c r="C18" s="30" t="str">
        <f>ProcDataGenPre2012!C18</f>
        <v>MAJUBA DRY</v>
      </c>
      <c r="D18" s="30" t="str">
        <f>ProcDataGenPre2012!D18</f>
        <v>PWRCLEMAJU</v>
      </c>
      <c r="E18" s="30" t="str">
        <f>ProcDataGenPre2012!E18</f>
        <v>ELCC</v>
      </c>
      <c r="F18" s="30">
        <f t="shared" si="0"/>
        <v>0.02</v>
      </c>
      <c r="G18" s="30">
        <f t="shared" si="0"/>
        <v>0.02</v>
      </c>
    </row>
    <row r="19" spans="1:7" ht="11.25" customHeight="1" x14ac:dyDescent="0.2">
      <c r="B19" s="30" t="str">
        <f>ProcDataGenPre2012!B19</f>
        <v>ETCLEMAJW-E</v>
      </c>
      <c r="C19" s="30" t="str">
        <f>ProcDataGenPre2012!C19</f>
        <v>MAJUBA WET</v>
      </c>
      <c r="D19" s="30" t="str">
        <f>ProcDataGenPre2012!D19</f>
        <v>PWRCLEMAJU</v>
      </c>
      <c r="E19" s="30" t="str">
        <f>ProcDataGenPre2012!E19</f>
        <v>ELCC</v>
      </c>
      <c r="F19" s="30">
        <f t="shared" si="0"/>
        <v>0.02</v>
      </c>
      <c r="G19" s="30">
        <f t="shared" si="0"/>
        <v>0.02</v>
      </c>
    </row>
    <row r="20" spans="1:7" ht="11.25" customHeight="1" x14ac:dyDescent="0.2">
      <c r="B20" s="30" t="str">
        <f>ProcDataGenPre2012!B20</f>
        <v>ETCLEMATI-E</v>
      </c>
      <c r="C20" s="30" t="str">
        <f>ProcDataGenPre2012!C20</f>
        <v>MATIMBA</v>
      </c>
      <c r="D20" s="30" t="str">
        <f>ProcDataGenPre2012!D20</f>
        <v>PWRCLEMATI</v>
      </c>
      <c r="E20" s="30" t="str">
        <f>ProcDataGenPre2012!E20</f>
        <v>ELCC</v>
      </c>
      <c r="F20" s="30">
        <f t="shared" si="0"/>
        <v>0.02</v>
      </c>
      <c r="G20" s="30">
        <f t="shared" si="0"/>
        <v>0.02</v>
      </c>
    </row>
    <row r="21" spans="1:7" ht="11.25" customHeight="1" x14ac:dyDescent="0.2">
      <c r="B21" s="30" t="str">
        <f>ProcDataGenPre2012!B21</f>
        <v>ETCLEMATL-E</v>
      </c>
      <c r="C21" s="30" t="str">
        <f>ProcDataGenPre2012!C21</f>
        <v>MATLA</v>
      </c>
      <c r="D21" s="30" t="str">
        <f>ProcDataGenPre2012!D21</f>
        <v>PWRCLEMATL</v>
      </c>
      <c r="E21" s="30" t="str">
        <f>ProcDataGenPre2012!E21</f>
        <v>ELCC</v>
      </c>
      <c r="F21" s="30">
        <f t="shared" si="0"/>
        <v>0.02</v>
      </c>
      <c r="G21" s="30">
        <f t="shared" si="0"/>
        <v>0.02</v>
      </c>
    </row>
    <row r="22" spans="1:7" ht="11.25" customHeight="1" x14ac:dyDescent="0.2">
      <c r="B22" s="30" t="str">
        <f>ProcDataGenPre2012!B22</f>
        <v>ETCLETUTU-E</v>
      </c>
      <c r="C22" s="30" t="str">
        <f>ProcDataGenPre2012!C22</f>
        <v>TUTUKA</v>
      </c>
      <c r="D22" s="30" t="str">
        <f>ProcDataGenPre2012!D22</f>
        <v>PWRCLETUTU</v>
      </c>
      <c r="E22" s="30" t="str">
        <f>ProcDataGenPre2012!E22</f>
        <v>ELCC</v>
      </c>
      <c r="F22" s="30">
        <f t="shared" si="0"/>
        <v>0.02</v>
      </c>
      <c r="G22" s="30">
        <f t="shared" si="0"/>
        <v>0.02</v>
      </c>
    </row>
    <row r="23" spans="1:7" ht="11.25" customHeight="1" x14ac:dyDescent="0.2">
      <c r="B23" s="30" t="str">
        <f>ProcDataGenPre2012!B23</f>
        <v>ETCLEKELB-E</v>
      </c>
      <c r="C23" s="30" t="str">
        <f>ProcDataGenPre2012!C23</f>
        <v>KELVIN B</v>
      </c>
      <c r="D23" s="30" t="str">
        <f>ProcDataGenPre2012!D23</f>
        <v>PWRCLE</v>
      </c>
      <c r="E23" s="30" t="str">
        <f>ProcDataGenPre2012!E23</f>
        <v>ELCC</v>
      </c>
      <c r="F23" s="30">
        <f t="shared" si="0"/>
        <v>0.02</v>
      </c>
      <c r="G23" s="30">
        <f t="shared" si="0"/>
        <v>0.02</v>
      </c>
    </row>
    <row r="24" spans="1:7" ht="11.25" customHeight="1" x14ac:dyDescent="0.2">
      <c r="A24" s="33"/>
      <c r="B24" s="30" t="str">
        <f>ProcDataGenPre2012!B24</f>
        <v>ETCLEPFSS-E</v>
      </c>
      <c r="C24" s="30" t="str">
        <f>ProcDataGenPre2012!C24</f>
        <v>Sasol SSF Coal Plant</v>
      </c>
      <c r="D24" s="30" t="str">
        <f>ProcDataGenPre2012!D24</f>
        <v>UPSCLE</v>
      </c>
      <c r="E24" s="30" t="str">
        <f>ProcDataGenPre2012!E24</f>
        <v>UPSELC</v>
      </c>
    </row>
    <row r="25" spans="1:7" ht="11.25" customHeight="1" x14ac:dyDescent="0.2">
      <c r="B25" s="30" t="str">
        <f>ProcDataGenPre2012!B25</f>
        <v>ETCLEPFSI-E</v>
      </c>
      <c r="C25" s="30" t="str">
        <f>ProcDataGenPre2012!C25</f>
        <v>Sasol Infrachem Coal Plant</v>
      </c>
      <c r="D25" s="30" t="str">
        <f>ProcDataGenPre2012!D25</f>
        <v>INDCLE</v>
      </c>
      <c r="E25" s="30" t="str">
        <f>ProcDataGenPre2012!E25</f>
        <v>ICPELC</v>
      </c>
    </row>
    <row r="26" spans="1:7" ht="11.25" customHeight="1" x14ac:dyDescent="0.2">
      <c r="B26" s="30" t="str">
        <f>ProcDataGenPre2012!B26</f>
        <v>ETODSGT-E</v>
      </c>
      <c r="C26" s="30" t="str">
        <f>ProcDataGenPre2012!C26</f>
        <v>OCGT liquid fuels Existing</v>
      </c>
      <c r="D26" s="30" t="str">
        <f>ProcDataGenPre2012!D26</f>
        <v>PWRODS</v>
      </c>
      <c r="E26" s="30" t="str">
        <f>ProcDataGenPre2012!E26</f>
        <v>ELCC</v>
      </c>
    </row>
    <row r="27" spans="1:7" ht="11.25" customHeight="1" x14ac:dyDescent="0.2">
      <c r="B27" s="30" t="str">
        <f>ProcDataGenPre2012!B27</f>
        <v>ERHYD-E</v>
      </c>
      <c r="C27" s="30" t="str">
        <f>ProcDataGenPre2012!C27</f>
        <v>Hydro Existing South Africa</v>
      </c>
      <c r="D27" s="30" t="str">
        <f>ProcDataGenPre2012!D27</f>
        <v>PWRHYD</v>
      </c>
      <c r="E27" s="30" t="str">
        <f>ProcDataGenPre2012!E27</f>
        <v>ELCC</v>
      </c>
    </row>
    <row r="28" spans="1:7" ht="11.25" customHeight="1" x14ac:dyDescent="0.2">
      <c r="B28" s="30" t="str">
        <f>ProcDataGenPre2012!B28</f>
        <v>ERHYD-I</v>
      </c>
      <c r="C28" s="30" t="str">
        <f>ProcDataGenPre2012!C28</f>
        <v>Hydro Existing Region</v>
      </c>
      <c r="E28" s="30" t="str">
        <f>ProcDataGenPre2012!E28</f>
        <v>ELCC</v>
      </c>
      <c r="F28" s="30">
        <f>F$9*2</f>
        <v>0.04</v>
      </c>
      <c r="G28" s="30">
        <f>G$9*2</f>
        <v>0.04</v>
      </c>
    </row>
    <row r="29" spans="1:7" ht="11.25" customHeight="1" x14ac:dyDescent="0.2">
      <c r="B29" s="30" t="str">
        <f>ProcDataGenPre2012!B29</f>
        <v>ETNUC-E</v>
      </c>
      <c r="C29" s="30" t="str">
        <f>ProcDataGenPre2012!C29</f>
        <v>Nuclear Existing</v>
      </c>
      <c r="D29" s="30" t="str">
        <f>ProcDataGenPre2012!D29</f>
        <v>PWRNUC</v>
      </c>
      <c r="E29" s="30" t="str">
        <f>ProcDataGenPre2012!E29</f>
        <v>ELCC</v>
      </c>
      <c r="F29" s="323">
        <f>F9*2</f>
        <v>0.04</v>
      </c>
      <c r="G29" s="323">
        <f>G9*2</f>
        <v>0.04</v>
      </c>
    </row>
    <row r="30" spans="1:7" ht="11.25" customHeight="1" x14ac:dyDescent="0.2">
      <c r="B30" s="30" t="str">
        <f>ProcDataGenPre2012!B30</f>
        <v>EPTSTO-E</v>
      </c>
      <c r="C30" s="30" t="str">
        <f>ProcDataGenPre2012!C30</f>
        <v>Pump Storage All Existing - Single Storage Tech</v>
      </c>
      <c r="D30" s="30" t="str">
        <f>ProcDataGenPre2012!D30</f>
        <v>ELCC</v>
      </c>
      <c r="E30" s="30" t="str">
        <f>ProcDataGenPre2012!E30</f>
        <v>ELCC</v>
      </c>
    </row>
    <row r="31" spans="1:7" ht="11.25" customHeight="1" x14ac:dyDescent="0.2">
      <c r="A31" s="33" t="str">
        <f>ProcDataGen2012On!A8</f>
        <v>* New Power Plants - Grid</v>
      </c>
    </row>
    <row r="32" spans="1:7" ht="11.25" customHeight="1" x14ac:dyDescent="0.2">
      <c r="B32" s="30" t="str">
        <f>ProcDataGen2012On!B9</f>
        <v>ETCLEMEDU-N</v>
      </c>
      <c r="C32" s="30" t="str">
        <f>ProcDataGen2012On!C9</f>
        <v>MEDUPI</v>
      </c>
      <c r="D32" s="30" t="str">
        <f>ProcDataGen2012On!D9</f>
        <v>PWRCLEMEDU</v>
      </c>
      <c r="E32" s="30" t="str">
        <f>ProcDataGen2012On!E8</f>
        <v>ELCC</v>
      </c>
      <c r="F32" s="30">
        <f t="shared" ref="F32:G34" si="1">F$9</f>
        <v>0.02</v>
      </c>
      <c r="G32" s="30">
        <f t="shared" si="1"/>
        <v>0.02</v>
      </c>
    </row>
    <row r="33" spans="2:7" ht="11.25" customHeight="1" x14ac:dyDescent="0.2">
      <c r="B33" s="30" t="str">
        <f>ProcDataGen2012On!B10</f>
        <v>ETCLEKUSI-N</v>
      </c>
      <c r="C33" s="30" t="str">
        <f>ProcDataGen2012On!C10</f>
        <v>KUSILE</v>
      </c>
      <c r="D33" s="30" t="str">
        <f>ProcDataGen2012On!D10</f>
        <v>PWRCLEKUSI</v>
      </c>
      <c r="E33" s="30" t="str">
        <f>ProcDataGen2012On!E9</f>
        <v>ELCC</v>
      </c>
      <c r="F33" s="30">
        <f t="shared" si="1"/>
        <v>0.02</v>
      </c>
      <c r="G33" s="30">
        <f t="shared" si="1"/>
        <v>0.02</v>
      </c>
    </row>
    <row r="34" spans="2:7" ht="11.25" customHeight="1" x14ac:dyDescent="0.2">
      <c r="B34" s="30" t="str">
        <f>ProcDataGen2012On!B11</f>
        <v>ETCLEWATE-N</v>
      </c>
      <c r="C34" s="30" t="str">
        <f>ProcDataGen2012On!C11</f>
        <v>Generic Waterberg Coal Plant</v>
      </c>
      <c r="D34" s="30" t="str">
        <f>ProcDataGen2012On!D11</f>
        <v>PWRCLEMEDU</v>
      </c>
      <c r="E34" s="30" t="str">
        <f>ProcDataGen2012On!E10</f>
        <v>ELCC</v>
      </c>
      <c r="F34" s="30">
        <f t="shared" si="1"/>
        <v>0.02</v>
      </c>
      <c r="G34" s="30">
        <f t="shared" si="1"/>
        <v>0.02</v>
      </c>
    </row>
    <row r="35" spans="2:7" ht="11.25" customHeight="1" x14ac:dyDescent="0.2">
      <c r="B35" s="30" t="str">
        <f>ProcDataGen2012On!B13</f>
        <v>EPTSTO-N</v>
      </c>
      <c r="C35" s="30" t="str">
        <f>ProcDataGen2012On!C13</f>
        <v>Pumped Storage New Ingula - Single Storage Tech</v>
      </c>
      <c r="D35" s="30" t="str">
        <f>ProcDataGen2012On!D13</f>
        <v>ELCC</v>
      </c>
      <c r="E35" s="30" t="str">
        <f>ProcDataGen2012On!E13</f>
        <v>ELCC</v>
      </c>
    </row>
    <row r="36" spans="2:7" ht="11.25" customHeight="1" x14ac:dyDescent="0.2">
      <c r="B36" s="30" t="str">
        <f>ProcDataGen2012On!B14</f>
        <v>ETODSGT-N</v>
      </c>
      <c r="C36" s="30" t="str">
        <f>ProcDataGen2012On!C14</f>
        <v>DOE Peakers</v>
      </c>
      <c r="D36" s="30" t="str">
        <f>ProcDataGen2012On!D14</f>
        <v>PWRODS</v>
      </c>
      <c r="E36" s="30" t="str">
        <f>ProcDataGen2012On!E14</f>
        <v>ELCC</v>
      </c>
    </row>
    <row r="37" spans="2:7" ht="11.25" customHeight="1" x14ac:dyDescent="0.2">
      <c r="B37" s="30" t="str">
        <f>ProcDataGen2012On!B15</f>
        <v>ETCLDFB-N</v>
      </c>
      <c r="C37" s="30" t="str">
        <f>ProcDataGen2012On!C15</f>
        <v>Fluidised Bed Combustion Coal</v>
      </c>
      <c r="D37" s="30" t="str">
        <f>ProcDataGen2012On!D15</f>
        <v>PWRCLD</v>
      </c>
      <c r="E37" s="30" t="str">
        <f>ProcDataGen2012On!E15</f>
        <v>ELCC</v>
      </c>
      <c r="F37" s="30">
        <f>F$9</f>
        <v>0.02</v>
      </c>
      <c r="G37" s="30">
        <f>G$9</f>
        <v>0.02</v>
      </c>
    </row>
    <row r="38" spans="2:7" ht="11.25" customHeight="1" x14ac:dyDescent="0.2">
      <c r="B38" s="30" t="str">
        <f>ProcDataGen2012On!B16</f>
        <v>ERHYD-N</v>
      </c>
      <c r="C38" s="30" t="str">
        <f>ProcDataGen2012On!C16</f>
        <v>Micro hydro</v>
      </c>
      <c r="D38" s="30" t="str">
        <f>ProcDataGen2012On!D16</f>
        <v>PWRHYD</v>
      </c>
      <c r="E38" s="30" t="str">
        <f>ProcDataGen2012On!E16</f>
        <v>ELCC</v>
      </c>
    </row>
    <row r="39" spans="2:7" ht="11.25" customHeight="1" x14ac:dyDescent="0.2">
      <c r="B39" s="30" t="str">
        <f>ProcDataGen2012On!B17</f>
        <v>ETNUC-N</v>
      </c>
      <c r="C39" s="30" t="str">
        <f>ProcDataGen2012On!C17</f>
        <v>Nuclear Mid</v>
      </c>
      <c r="D39" s="30" t="str">
        <f>ProcDataGen2012On!D17</f>
        <v>PWRNUC</v>
      </c>
      <c r="E39" s="30" t="str">
        <f>ProcDataGen2012On!E17</f>
        <v>ELCC</v>
      </c>
    </row>
    <row r="40" spans="2:7" ht="11.25" customHeight="1" x14ac:dyDescent="0.2">
      <c r="B40" s="30" t="str">
        <f>ProcDataGen2012On!B18</f>
        <v>ERSOLTC09-N</v>
      </c>
      <c r="C40" s="30" t="str">
        <f>ProcDataGen2012On!C18</f>
        <v>Solar Central Receiver 09 hrs storage</v>
      </c>
      <c r="D40" s="30" t="str">
        <f>ProcDataGen2012On!D18</f>
        <v>PWRSOL</v>
      </c>
      <c r="E40" s="30" t="str">
        <f>ProcDataGen2012On!E18</f>
        <v>ELCC</v>
      </c>
    </row>
    <row r="41" spans="2:7" ht="11.25" customHeight="1" x14ac:dyDescent="0.2">
      <c r="B41" s="30" t="str">
        <f>ProcDataGen2012On!B19</f>
        <v>ERSOLPCF-N</v>
      </c>
      <c r="C41" s="30" t="str">
        <f>ProcDataGen2012On!C19</f>
        <v>Solar PV Fixed</v>
      </c>
      <c r="D41" s="30" t="str">
        <f>ProcDataGen2012On!D19</f>
        <v>PWRSOL</v>
      </c>
      <c r="E41" s="30" t="str">
        <f>ProcDataGen2012On!E19</f>
        <v>ELCC</v>
      </c>
    </row>
    <row r="42" spans="2:7" ht="11.25" customHeight="1" x14ac:dyDescent="0.2">
      <c r="B42" s="30" t="str">
        <f>ProcDataGen2012On!B20</f>
        <v>ERSOLPCT-N</v>
      </c>
      <c r="C42" s="30" t="str">
        <f>ProcDataGen2012On!C20</f>
        <v>Solar PV tracking</v>
      </c>
      <c r="D42" s="30" t="str">
        <f>ProcDataGen2012On!D20</f>
        <v>PWRSOL</v>
      </c>
      <c r="E42" s="30" t="str">
        <f>ProcDataGen2012On!E20</f>
        <v>ELCC</v>
      </c>
    </row>
    <row r="43" spans="2:7" ht="11.25" customHeight="1" x14ac:dyDescent="0.2">
      <c r="B43" s="30" t="str">
        <f>ProcDataGen2012On!B21</f>
        <v>ERWNDH-N</v>
      </c>
      <c r="C43" s="30" t="str">
        <f>ProcDataGen2012On!C21</f>
        <v>Wind</v>
      </c>
      <c r="D43" s="30" t="str">
        <f>ProcDataGen2012On!D21</f>
        <v>PWRWND</v>
      </c>
      <c r="E43" s="30" t="str">
        <f>ProcDataGen2012On!E21</f>
        <v>ELCC</v>
      </c>
    </row>
    <row r="44" spans="2:7" ht="11.25" customHeight="1" x14ac:dyDescent="0.2">
      <c r="B44" s="30" t="str">
        <f>ProcDataGen2012On!B22</f>
        <v>ERHYDGIW-I</v>
      </c>
      <c r="C44" s="30" t="str">
        <f>ProcDataGen2012On!C22</f>
        <v>Imports from Region</v>
      </c>
      <c r="E44" s="30" t="str">
        <f>ProcDataGen2012On!E22</f>
        <v>ELCC</v>
      </c>
      <c r="F44" s="30">
        <f>F46*2</f>
        <v>0.08</v>
      </c>
      <c r="G44" s="30">
        <f>G46*2</f>
        <v>0.08</v>
      </c>
    </row>
    <row r="45" spans="2:7" ht="11.25" customHeight="1" x14ac:dyDescent="0.2">
      <c r="B45" s="30" t="str">
        <f>ProcDataGen2012On!B23</f>
        <v>ETGICGT-N</v>
      </c>
      <c r="C45" s="30" t="str">
        <f>ProcDataGen2012On!C23</f>
        <v>Open Cycle Gas Turbine - LNG</v>
      </c>
      <c r="D45" s="30" t="str">
        <f>ProcDataGen2012On!D23</f>
        <v>PWRGIC</v>
      </c>
      <c r="E45" s="30" t="str">
        <f>ProcDataGen2012On!E23</f>
        <v>ELCC</v>
      </c>
    </row>
    <row r="46" spans="2:7" ht="11.25" customHeight="1" x14ac:dyDescent="0.2">
      <c r="B46" s="30" t="str">
        <f>ProcDataGen2012On!B25</f>
        <v>ETGICCC-N</v>
      </c>
      <c r="C46" s="30" t="str">
        <f>ProcDataGen2012On!C25</f>
        <v>Combined Cycle Gas Turbine - LNG</v>
      </c>
      <c r="D46" s="30" t="str">
        <f>ProcDataGen2012On!D25</f>
        <v>PWRGIC</v>
      </c>
      <c r="E46" s="30" t="str">
        <f>ProcDataGen2012On!E25</f>
        <v>ELCC</v>
      </c>
      <c r="F46" s="30">
        <f>F$9*2</f>
        <v>0.04</v>
      </c>
      <c r="G46" s="30">
        <f>G$9*2</f>
        <v>0.04</v>
      </c>
    </row>
    <row r="47" spans="2:7" ht="11.25" customHeight="1" x14ac:dyDescent="0.2">
      <c r="B47" s="30" t="str">
        <f>ProcDataGen2012On!B27</f>
        <v>ETGICEN-N</v>
      </c>
      <c r="C47" s="30" t="str">
        <f>ProcDataGen2012On!C27</f>
        <v>Gas Engines - LNG</v>
      </c>
      <c r="D47" s="30" t="str">
        <f>ProcDataGen2012On!D27</f>
        <v>PWRGIC</v>
      </c>
      <c r="E47" s="30" t="str">
        <f>ProcDataGen2012On!E27</f>
        <v>ELCC</v>
      </c>
    </row>
    <row r="48" spans="2:7" ht="11.25" customHeight="1" x14ac:dyDescent="0.2">
      <c r="B48" s="30" t="str">
        <f>ProcDataGen2012On!B28</f>
        <v>ERBIO-N</v>
      </c>
      <c r="C48" s="30" t="str">
        <f>ProcDataGen2012On!C28</f>
        <v>Biomass municipal waste</v>
      </c>
      <c r="D48" s="30" t="str">
        <f>ProcDataGen2012On!D28</f>
        <v>PWRBIO</v>
      </c>
      <c r="E48" s="30" t="str">
        <f>ProcDataGen2012On!E28</f>
        <v>ELCC</v>
      </c>
    </row>
    <row r="49" spans="1:5" ht="11.25" customHeight="1" x14ac:dyDescent="0.2">
      <c r="B49" s="30" t="str">
        <f>ProcDataGen2012On!B29</f>
        <v>ERBIG-N</v>
      </c>
      <c r="C49" s="30" t="str">
        <f>ProcDataGen2012On!C29</f>
        <v>Landfill gas</v>
      </c>
      <c r="D49" s="30" t="str">
        <f>ProcDataGen2012On!D29</f>
        <v>PWRBIG</v>
      </c>
      <c r="E49" s="30" t="str">
        <f>ProcDataGen2012On!E29</f>
        <v>ELCC</v>
      </c>
    </row>
    <row r="50" spans="1:5" ht="11.25" customHeight="1" x14ac:dyDescent="0.2">
      <c r="B50" s="30" t="str">
        <f>ProcDataGen2012On!B30</f>
        <v>ESTSUTL</v>
      </c>
      <c r="C50" s="30" t="str">
        <f>ProcDataGen2012On!C30</f>
        <v>Utility Scale Storage - 4hrs</v>
      </c>
      <c r="D50" s="30" t="str">
        <f>ProcDataGen2012On!D30</f>
        <v>ELCC</v>
      </c>
      <c r="E50" s="30" t="str">
        <f>ProcDataGen2012On!E30</f>
        <v>ELCC</v>
      </c>
    </row>
    <row r="51" spans="1:5" ht="11.25" customHeight="1" x14ac:dyDescent="0.2">
      <c r="A51" s="33" t="str">
        <f>ProcDataGen2012On!A31</f>
        <v>* New Power Plants - On-site</v>
      </c>
    </row>
    <row r="52" spans="1:5" ht="11.25" customHeight="1" x14ac:dyDescent="0.2">
      <c r="B52" s="30" t="str">
        <f>ProcDataGen2012On!B34</f>
        <v>ERSOLPRC-N</v>
      </c>
      <c r="C52" s="30" t="str">
        <f>ProcDataGen2012On!C34</f>
        <v>Solar PV rooftop commercial</v>
      </c>
      <c r="D52" s="30" t="str">
        <f>ProcDataGen2012On!D34</f>
        <v>PWRSOL</v>
      </c>
      <c r="E52" s="30" t="str">
        <f>ProcDataGen2012On!E34</f>
        <v>COMELC</v>
      </c>
    </row>
    <row r="53" spans="1:5" ht="11.25" customHeight="1" x14ac:dyDescent="0.2">
      <c r="B53" s="30" t="str">
        <f>ProcDataGen2012On!B35</f>
        <v>ERSOLPRR-N</v>
      </c>
      <c r="C53" s="30" t="str">
        <f>ProcDataGen2012On!C35</f>
        <v>Solar PV rooftop residential</v>
      </c>
      <c r="D53" s="30" t="str">
        <f>ProcDataGen2012On!D35</f>
        <v>PWRSOL</v>
      </c>
      <c r="E53" s="30" t="str">
        <f>ProcDataGen2012On!E35</f>
        <v>RESELC</v>
      </c>
    </row>
    <row r="54" spans="1:5" ht="11.25" customHeight="1" x14ac:dyDescent="0.2">
      <c r="B54" s="30" t="str">
        <f>ProcDataGen2012On!B36</f>
        <v>ERSOLPRI-N</v>
      </c>
      <c r="C54" s="30" t="str">
        <f>ProcDataGen2012On!C36</f>
        <v>Solar PV rooftop Industry</v>
      </c>
      <c r="D54" s="30" t="str">
        <f>ProcDataGen2012On!D36</f>
        <v>PWRSOL</v>
      </c>
      <c r="E54" s="30" t="str">
        <f>ProcDataGen2012On!E36</f>
        <v>INDELC</v>
      </c>
    </row>
    <row r="55" spans="1:5" ht="11.25" customHeight="1" x14ac:dyDescent="0.2">
      <c r="B55" s="30" t="str">
        <f>ProcDataGen2012On!B37</f>
        <v>ETGASENSS-N</v>
      </c>
      <c r="C55" s="30" t="str">
        <f>ProcDataGen2012On!C37</f>
        <v xml:space="preserve">Sasol SSF Gas Plant </v>
      </c>
      <c r="D55" s="30" t="str">
        <f>ProcDataGen2012On!D37</f>
        <v>PWRGAS</v>
      </c>
      <c r="E55" s="30" t="str">
        <f>ProcDataGen2012On!E37</f>
        <v>UPSELC</v>
      </c>
    </row>
    <row r="56" spans="1:5" ht="11.25" customHeight="1" x14ac:dyDescent="0.2">
      <c r="B56" s="30" t="str">
        <f>ProcDataGen2012On!B38</f>
        <v>ETGASENSI-N</v>
      </c>
      <c r="C56" s="30" t="str">
        <f>ProcDataGen2012On!C38</f>
        <v xml:space="preserve">Sasol Infrachem Gas Plant </v>
      </c>
      <c r="D56" s="30" t="str">
        <f>ProcDataGen2012On!D38</f>
        <v>PWRGAS</v>
      </c>
      <c r="E56" s="30" t="str">
        <f>ProcDataGen2012On!E38</f>
        <v>ICPELC</v>
      </c>
    </row>
  </sheetData>
  <pageMargins left="0.75" right="0.75" top="1" bottom="1" header="0.5" footer="0.5"/>
  <pageSetup paperSize="9" orientation="landscape" horizontalDpi="12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DDA0E-0286-DE48-B37C-4FF2A134E6AB}">
  <sheetPr codeName="Sheet62"/>
  <dimension ref="B3:V118"/>
  <sheetViews>
    <sheetView workbookViewId="0"/>
  </sheetViews>
  <sheetFormatPr defaultColWidth="11.42578125" defaultRowHeight="12.75" x14ac:dyDescent="0.2"/>
  <cols>
    <col min="3" max="3" width="34.85546875" customWidth="1"/>
  </cols>
  <sheetData>
    <row r="3" spans="2:13" x14ac:dyDescent="0.2">
      <c r="B3" s="330" t="s">
        <v>2337</v>
      </c>
    </row>
    <row r="6" spans="2:13" x14ac:dyDescent="0.2">
      <c r="B6" s="330" t="s">
        <v>2338</v>
      </c>
      <c r="C6" s="330" t="s">
        <v>2339</v>
      </c>
    </row>
    <row r="7" spans="2:13" x14ac:dyDescent="0.2">
      <c r="D7" s="330" t="s">
        <v>2347</v>
      </c>
    </row>
    <row r="8" spans="2:13" x14ac:dyDescent="0.2">
      <c r="C8" t="s">
        <v>2340</v>
      </c>
    </row>
    <row r="9" spans="2:13" x14ac:dyDescent="0.2">
      <c r="D9">
        <v>2021</v>
      </c>
      <c r="E9">
        <v>2022</v>
      </c>
      <c r="F9">
        <v>2023</v>
      </c>
      <c r="G9">
        <v>2024</v>
      </c>
      <c r="H9">
        <v>2025</v>
      </c>
      <c r="I9">
        <v>2026</v>
      </c>
      <c r="J9">
        <v>2027</v>
      </c>
      <c r="K9">
        <v>2028</v>
      </c>
      <c r="L9">
        <v>2029</v>
      </c>
      <c r="M9">
        <v>2030</v>
      </c>
    </row>
    <row r="10" spans="2:13" x14ac:dyDescent="0.2">
      <c r="C10" t="s">
        <v>2341</v>
      </c>
      <c r="D10">
        <v>0</v>
      </c>
      <c r="E10">
        <v>0</v>
      </c>
      <c r="F10">
        <v>0</v>
      </c>
      <c r="G10">
        <v>1.6</v>
      </c>
      <c r="H10">
        <v>4.0999999999999996</v>
      </c>
      <c r="I10">
        <v>4.2</v>
      </c>
      <c r="J10">
        <v>3.2</v>
      </c>
      <c r="K10">
        <v>3.2</v>
      </c>
      <c r="L10">
        <v>3.2</v>
      </c>
      <c r="M10">
        <v>3.2</v>
      </c>
    </row>
    <row r="11" spans="2:13" x14ac:dyDescent="0.2">
      <c r="C11" t="s">
        <v>2342</v>
      </c>
      <c r="D11">
        <v>0</v>
      </c>
      <c r="E11">
        <v>0</v>
      </c>
      <c r="F11">
        <v>0</v>
      </c>
      <c r="G11">
        <v>1.5</v>
      </c>
      <c r="H11">
        <v>3.5</v>
      </c>
      <c r="I11">
        <v>3.5</v>
      </c>
      <c r="J11">
        <v>2</v>
      </c>
      <c r="K11">
        <v>2</v>
      </c>
      <c r="L11">
        <v>2</v>
      </c>
      <c r="M11">
        <v>2</v>
      </c>
    </row>
    <row r="12" spans="2:13" x14ac:dyDescent="0.2">
      <c r="C12" t="s">
        <v>2343</v>
      </c>
      <c r="D12">
        <v>0</v>
      </c>
      <c r="E12">
        <v>0.5</v>
      </c>
      <c r="F12">
        <v>0.5</v>
      </c>
      <c r="G12">
        <v>0.5</v>
      </c>
      <c r="H12">
        <v>1</v>
      </c>
      <c r="I12">
        <v>1</v>
      </c>
      <c r="J12">
        <v>0.5</v>
      </c>
      <c r="K12">
        <v>0.5</v>
      </c>
      <c r="L12">
        <v>0.5</v>
      </c>
      <c r="M12">
        <v>0.5</v>
      </c>
    </row>
    <row r="13" spans="2:13" x14ac:dyDescent="0.2">
      <c r="C13" t="s">
        <v>2344</v>
      </c>
      <c r="D13">
        <v>0</v>
      </c>
      <c r="E13">
        <v>0</v>
      </c>
      <c r="F13">
        <v>0</v>
      </c>
      <c r="G13">
        <v>0.51300000000000001</v>
      </c>
      <c r="H13">
        <v>0</v>
      </c>
      <c r="I13">
        <v>0</v>
      </c>
      <c r="J13">
        <v>0.45</v>
      </c>
      <c r="K13">
        <v>0.15</v>
      </c>
      <c r="L13">
        <v>1.575</v>
      </c>
      <c r="M13">
        <v>0</v>
      </c>
    </row>
    <row r="16" spans="2:13" x14ac:dyDescent="0.2">
      <c r="C16" t="s">
        <v>222</v>
      </c>
      <c r="E16">
        <v>0.315</v>
      </c>
      <c r="F16">
        <v>0.35</v>
      </c>
      <c r="G16">
        <v>0.3</v>
      </c>
      <c r="H16">
        <v>0.8</v>
      </c>
      <c r="I16">
        <v>0.75</v>
      </c>
      <c r="J16">
        <v>0.22500000000000001</v>
      </c>
      <c r="K16">
        <v>0.2</v>
      </c>
      <c r="L16">
        <v>0.2</v>
      </c>
      <c r="M16">
        <v>0.2</v>
      </c>
    </row>
    <row r="17" spans="3:13" x14ac:dyDescent="0.2">
      <c r="C17" t="s">
        <v>220</v>
      </c>
      <c r="E17">
        <v>4.4999999999999998E-2</v>
      </c>
      <c r="F17">
        <v>0.05</v>
      </c>
      <c r="G17">
        <v>0.05</v>
      </c>
      <c r="H17">
        <v>0.05</v>
      </c>
      <c r="I17">
        <v>0.05</v>
      </c>
      <c r="J17">
        <v>0.05</v>
      </c>
      <c r="K17">
        <v>0.05</v>
      </c>
      <c r="L17">
        <v>0.05</v>
      </c>
      <c r="M17">
        <v>0.05</v>
      </c>
    </row>
    <row r="18" spans="3:13" x14ac:dyDescent="0.2">
      <c r="C18" t="s">
        <v>218</v>
      </c>
      <c r="E18">
        <v>9.0000000000000024E-2</v>
      </c>
      <c r="F18">
        <v>0.10000000000000003</v>
      </c>
      <c r="G18">
        <v>0.15000000000000002</v>
      </c>
      <c r="H18">
        <v>0.15000000000000002</v>
      </c>
      <c r="I18">
        <v>0.2</v>
      </c>
      <c r="J18">
        <v>0.22499999999999998</v>
      </c>
      <c r="K18">
        <v>0.25</v>
      </c>
      <c r="L18">
        <v>0.25</v>
      </c>
      <c r="M18">
        <v>0.25</v>
      </c>
    </row>
    <row r="22" spans="3:13" x14ac:dyDescent="0.2">
      <c r="C22" t="s">
        <v>2345</v>
      </c>
    </row>
    <row r="23" spans="3:13" x14ac:dyDescent="0.2">
      <c r="D23">
        <v>2021</v>
      </c>
      <c r="E23">
        <v>2022</v>
      </c>
      <c r="F23">
        <v>2023</v>
      </c>
      <c r="G23">
        <v>2024</v>
      </c>
      <c r="H23">
        <v>2025</v>
      </c>
      <c r="I23">
        <v>2026</v>
      </c>
      <c r="J23">
        <v>2027</v>
      </c>
      <c r="K23">
        <v>2028</v>
      </c>
      <c r="L23">
        <v>2029</v>
      </c>
      <c r="M23">
        <v>2030</v>
      </c>
    </row>
    <row r="24" spans="3:13" x14ac:dyDescent="0.2">
      <c r="C24" t="s">
        <v>2341</v>
      </c>
      <c r="D24">
        <v>0</v>
      </c>
      <c r="E24">
        <v>0</v>
      </c>
      <c r="F24">
        <v>0</v>
      </c>
      <c r="G24">
        <v>1.6</v>
      </c>
      <c r="H24">
        <v>4.0999999999999996</v>
      </c>
      <c r="I24">
        <v>3.5</v>
      </c>
      <c r="J24">
        <v>2.5</v>
      </c>
      <c r="K24">
        <v>2.5</v>
      </c>
      <c r="L24">
        <v>2.5</v>
      </c>
      <c r="M24">
        <v>2.5</v>
      </c>
    </row>
    <row r="25" spans="3:13" x14ac:dyDescent="0.2">
      <c r="C25" t="s">
        <v>2342</v>
      </c>
      <c r="D25">
        <v>0</v>
      </c>
      <c r="E25">
        <v>0</v>
      </c>
      <c r="F25">
        <v>0</v>
      </c>
      <c r="G25">
        <v>1.5</v>
      </c>
      <c r="H25">
        <v>3.5</v>
      </c>
      <c r="I25">
        <v>3</v>
      </c>
      <c r="J25">
        <v>1.5</v>
      </c>
      <c r="K25">
        <v>1.5</v>
      </c>
      <c r="L25">
        <v>1.5</v>
      </c>
      <c r="M25">
        <v>1.5</v>
      </c>
    </row>
    <row r="26" spans="3:13" x14ac:dyDescent="0.2">
      <c r="C26" t="s">
        <v>2343</v>
      </c>
      <c r="D26">
        <v>0</v>
      </c>
      <c r="E26">
        <v>0.5</v>
      </c>
      <c r="F26">
        <v>0.5</v>
      </c>
      <c r="G26">
        <v>0.5</v>
      </c>
      <c r="H26">
        <v>1</v>
      </c>
      <c r="I26">
        <v>1</v>
      </c>
      <c r="J26">
        <v>0.5</v>
      </c>
      <c r="K26">
        <v>0.5</v>
      </c>
      <c r="L26">
        <v>0.5</v>
      </c>
      <c r="M26">
        <v>0.5</v>
      </c>
    </row>
    <row r="27" spans="3:13" x14ac:dyDescent="0.2">
      <c r="C27" t="s">
        <v>2344</v>
      </c>
      <c r="D27">
        <v>0</v>
      </c>
      <c r="E27">
        <v>0</v>
      </c>
      <c r="F27">
        <v>0</v>
      </c>
      <c r="G27">
        <v>0.51300000000000001</v>
      </c>
      <c r="H27">
        <v>0</v>
      </c>
      <c r="I27">
        <v>0</v>
      </c>
      <c r="J27">
        <v>0.45</v>
      </c>
      <c r="K27">
        <v>0.15</v>
      </c>
      <c r="L27">
        <v>1.575</v>
      </c>
      <c r="M27">
        <v>0</v>
      </c>
    </row>
    <row r="29" spans="3:13" x14ac:dyDescent="0.2">
      <c r="C29" t="s">
        <v>222</v>
      </c>
      <c r="E29">
        <v>0.315</v>
      </c>
      <c r="F29">
        <v>0.35</v>
      </c>
      <c r="G29">
        <v>0.3</v>
      </c>
      <c r="H29">
        <v>0.8</v>
      </c>
      <c r="I29">
        <v>0.75</v>
      </c>
      <c r="J29">
        <v>0.22500000000000001</v>
      </c>
      <c r="K29">
        <v>0.2</v>
      </c>
      <c r="L29">
        <v>0.2</v>
      </c>
      <c r="M29">
        <v>0.2</v>
      </c>
    </row>
    <row r="30" spans="3:13" x14ac:dyDescent="0.2">
      <c r="C30" t="s">
        <v>220</v>
      </c>
      <c r="E30">
        <v>4.4999999999999998E-2</v>
      </c>
      <c r="F30">
        <v>0.05</v>
      </c>
      <c r="G30">
        <v>0.05</v>
      </c>
      <c r="H30">
        <v>0.05</v>
      </c>
      <c r="I30">
        <v>0.05</v>
      </c>
      <c r="J30">
        <v>0.05</v>
      </c>
      <c r="K30">
        <v>0.05</v>
      </c>
      <c r="L30">
        <v>0.05</v>
      </c>
      <c r="M30">
        <v>0.05</v>
      </c>
    </row>
    <row r="31" spans="3:13" x14ac:dyDescent="0.2">
      <c r="C31" t="s">
        <v>218</v>
      </c>
      <c r="E31">
        <v>9.0000000000000024E-2</v>
      </c>
      <c r="F31">
        <v>0.10000000000000003</v>
      </c>
      <c r="G31">
        <v>0.15000000000000002</v>
      </c>
      <c r="H31">
        <v>0.15000000000000002</v>
      </c>
      <c r="I31">
        <v>0.2</v>
      </c>
      <c r="J31">
        <v>0.22499999999999998</v>
      </c>
      <c r="K31">
        <v>0.25</v>
      </c>
      <c r="L31">
        <v>0.25</v>
      </c>
      <c r="M31">
        <v>0.25</v>
      </c>
    </row>
    <row r="33" spans="3:13" x14ac:dyDescent="0.2">
      <c r="C33" t="s">
        <v>2346</v>
      </c>
    </row>
    <row r="34" spans="3:13" x14ac:dyDescent="0.2">
      <c r="D34">
        <v>2021</v>
      </c>
      <c r="E34">
        <v>2022</v>
      </c>
      <c r="F34">
        <v>2023</v>
      </c>
      <c r="G34">
        <v>2024</v>
      </c>
      <c r="H34">
        <v>2025</v>
      </c>
      <c r="I34">
        <v>2026</v>
      </c>
      <c r="J34">
        <v>2027</v>
      </c>
      <c r="K34">
        <v>2028</v>
      </c>
      <c r="L34">
        <v>2029</v>
      </c>
      <c r="M34">
        <v>2030</v>
      </c>
    </row>
    <row r="35" spans="3:13" x14ac:dyDescent="0.2">
      <c r="C35" t="s">
        <v>2341</v>
      </c>
      <c r="D35">
        <v>0</v>
      </c>
      <c r="E35">
        <v>0</v>
      </c>
      <c r="F35">
        <v>0</v>
      </c>
      <c r="G35">
        <v>1.6</v>
      </c>
      <c r="H35">
        <v>4.0999999999999996</v>
      </c>
      <c r="I35">
        <v>3.4</v>
      </c>
      <c r="J35">
        <v>2.4</v>
      </c>
      <c r="K35">
        <v>1.6</v>
      </c>
      <c r="L35">
        <v>1.6</v>
      </c>
      <c r="M35">
        <v>1.6</v>
      </c>
    </row>
    <row r="36" spans="3:13" x14ac:dyDescent="0.2">
      <c r="C36" t="s">
        <v>2342</v>
      </c>
      <c r="D36">
        <v>0</v>
      </c>
      <c r="E36">
        <v>0</v>
      </c>
      <c r="F36">
        <v>0</v>
      </c>
      <c r="G36">
        <v>1.5</v>
      </c>
      <c r="H36">
        <v>3.5</v>
      </c>
      <c r="I36">
        <v>2.5</v>
      </c>
      <c r="J36">
        <v>0</v>
      </c>
      <c r="K36">
        <v>1</v>
      </c>
      <c r="L36">
        <v>0</v>
      </c>
      <c r="M36">
        <v>1</v>
      </c>
    </row>
    <row r="37" spans="3:13" x14ac:dyDescent="0.2">
      <c r="C37" t="s">
        <v>2343</v>
      </c>
      <c r="D37">
        <v>0</v>
      </c>
      <c r="E37">
        <v>0.5</v>
      </c>
      <c r="F37">
        <v>0.5</v>
      </c>
      <c r="G37">
        <v>0.5</v>
      </c>
      <c r="H37">
        <v>1</v>
      </c>
      <c r="I37">
        <v>1</v>
      </c>
      <c r="J37">
        <v>0.5</v>
      </c>
      <c r="K37">
        <v>0.5</v>
      </c>
      <c r="L37">
        <v>0.5</v>
      </c>
      <c r="M37">
        <v>0.5</v>
      </c>
    </row>
    <row r="38" spans="3:13" x14ac:dyDescent="0.2">
      <c r="C38" t="s">
        <v>2344</v>
      </c>
      <c r="D38">
        <v>0</v>
      </c>
      <c r="E38">
        <v>0</v>
      </c>
      <c r="F38">
        <v>0</v>
      </c>
      <c r="G38">
        <v>0.51300000000000001</v>
      </c>
      <c r="H38">
        <v>0</v>
      </c>
      <c r="I38">
        <v>0</v>
      </c>
      <c r="J38">
        <v>0.45</v>
      </c>
      <c r="K38">
        <v>0.15</v>
      </c>
      <c r="L38">
        <v>1.575</v>
      </c>
      <c r="M38">
        <v>0</v>
      </c>
    </row>
    <row r="40" spans="3:13" x14ac:dyDescent="0.2">
      <c r="C40" t="s">
        <v>222</v>
      </c>
      <c r="E40">
        <v>0.315</v>
      </c>
      <c r="F40">
        <v>0.35</v>
      </c>
      <c r="G40">
        <v>0.3</v>
      </c>
      <c r="H40">
        <v>0.8</v>
      </c>
      <c r="I40">
        <v>0.75</v>
      </c>
      <c r="J40">
        <v>0.22500000000000001</v>
      </c>
      <c r="K40">
        <v>0.2</v>
      </c>
      <c r="L40">
        <v>0.2</v>
      </c>
      <c r="M40">
        <v>0.2</v>
      </c>
    </row>
    <row r="41" spans="3:13" x14ac:dyDescent="0.2">
      <c r="C41" t="s">
        <v>220</v>
      </c>
      <c r="E41">
        <v>4.4999999999999998E-2</v>
      </c>
      <c r="F41">
        <v>0.05</v>
      </c>
      <c r="G41">
        <v>0.05</v>
      </c>
      <c r="H41">
        <v>0.05</v>
      </c>
      <c r="I41">
        <v>0.05</v>
      </c>
      <c r="J41">
        <v>0.05</v>
      </c>
      <c r="K41">
        <v>0.05</v>
      </c>
      <c r="L41">
        <v>0.05</v>
      </c>
      <c r="M41">
        <v>0.05</v>
      </c>
    </row>
    <row r="42" spans="3:13" x14ac:dyDescent="0.2">
      <c r="C42" t="s">
        <v>218</v>
      </c>
      <c r="E42">
        <v>9.0000000000000024E-2</v>
      </c>
      <c r="F42">
        <v>0.10000000000000003</v>
      </c>
      <c r="G42">
        <v>0.15000000000000002</v>
      </c>
      <c r="H42">
        <v>0.15000000000000002</v>
      </c>
      <c r="I42">
        <v>0.2</v>
      </c>
      <c r="J42">
        <v>0.22499999999999998</v>
      </c>
      <c r="K42">
        <v>0.25</v>
      </c>
      <c r="L42">
        <v>0.25</v>
      </c>
      <c r="M42">
        <v>0.25</v>
      </c>
    </row>
    <row r="48" spans="3:13" x14ac:dyDescent="0.2">
      <c r="C48" s="330" t="s">
        <v>2352</v>
      </c>
    </row>
    <row r="51" spans="3:18" x14ac:dyDescent="0.2">
      <c r="C51" s="330" t="s">
        <v>2353</v>
      </c>
    </row>
    <row r="52" spans="3:18" x14ac:dyDescent="0.2">
      <c r="D52" t="str">
        <f>IF(ProcDataGen2012On!AW4="","",ProcDataGen2012On!AW4)</f>
        <v>NCAP_PASTI</v>
      </c>
      <c r="E52" t="str">
        <f>ProcDataGen2012On!AX4</f>
        <v>NCAP_PASTI</v>
      </c>
      <c r="F52" t="str">
        <f>ProcDataGen2012On!AY4</f>
        <v>NCAP_PASTI</v>
      </c>
      <c r="G52" t="str">
        <f>ProcDataGen2012On!AZ4</f>
        <v>NCAP_BND-FX</v>
      </c>
      <c r="H52" t="str">
        <f>ProcDataGen2012On!BB4</f>
        <v>NCAP_BND-FX</v>
      </c>
      <c r="I52" t="str">
        <f>ProcDataGen2012On!BC4</f>
        <v>NCAP_BND-FX</v>
      </c>
      <c r="J52" t="str">
        <f>ProcDataGen2012On!BD4</f>
        <v>NCAP_BND-FX</v>
      </c>
      <c r="K52" t="str">
        <f>ProcDataGen2012On!BE4</f>
        <v>NCAP_BND-FX</v>
      </c>
      <c r="L52" t="str">
        <f>ProcDataGen2012On!BF4</f>
        <v>NCAP_BND-FX</v>
      </c>
      <c r="M52" t="str">
        <f>ProcDataGen2012On!BG4</f>
        <v>NCAP_BND-FX</v>
      </c>
      <c r="N52" t="str">
        <f>ProcDataGen2012On!BH4</f>
        <v>NCAP_BND-FX</v>
      </c>
      <c r="O52" t="str">
        <f>ProcDataGen2012On!BI4</f>
        <v>NCAP_BND-FX</v>
      </c>
    </row>
    <row r="53" spans="3:18" x14ac:dyDescent="0.2">
      <c r="D53">
        <v>2014</v>
      </c>
      <c r="E53">
        <v>2015</v>
      </c>
      <c r="F53">
        <v>2016</v>
      </c>
      <c r="G53">
        <v>2017</v>
      </c>
      <c r="H53">
        <v>2018</v>
      </c>
      <c r="I53">
        <v>2019</v>
      </c>
      <c r="J53">
        <v>2020</v>
      </c>
      <c r="K53">
        <v>2021</v>
      </c>
      <c r="L53">
        <v>2022</v>
      </c>
      <c r="M53">
        <v>2023</v>
      </c>
      <c r="N53">
        <v>2024</v>
      </c>
      <c r="O53">
        <v>2025</v>
      </c>
    </row>
    <row r="55" spans="3:18" x14ac:dyDescent="0.2">
      <c r="C55" t="str">
        <f>ProcDataGen2012On!C19</f>
        <v>Solar PV Fixed</v>
      </c>
      <c r="D55">
        <f>IF(ProcDataGen2012On!AW19="","",ProcDataGen2012On!AW19)</f>
        <v>0.19</v>
      </c>
      <c r="E55">
        <f>IF(ProcDataGen2012On!AX19="","",ProcDataGen2012On!AX19)</f>
        <v>0.33400000000000002</v>
      </c>
      <c r="F55">
        <f>IF(ProcDataGen2012On!AY19="","",ProcDataGen2012On!AY19)</f>
        <v>5.0000000000000001E-3</v>
      </c>
      <c r="G55">
        <f>IF(ProcDataGen2012On!AZ19="","",ProcDataGen2012On!AZ19)</f>
        <v>0.435</v>
      </c>
      <c r="H55">
        <f>IF(ProcDataGen2012On!BB19="","",ProcDataGen2012On!BB19)</f>
        <v>0</v>
      </c>
      <c r="I55">
        <f>IF(ProcDataGen2012On!BC19="","",ProcDataGen2012On!BC19)</f>
        <v>0</v>
      </c>
      <c r="J55">
        <f>IF(ProcDataGen2012On!BD19="","",ProcDataGen2012On!BD19)</f>
        <v>0</v>
      </c>
      <c r="K55">
        <f>IF(ProcDataGen2012On!BE19="","",ProcDataGen2012On!BE19)</f>
        <v>0</v>
      </c>
      <c r="L55">
        <f>IF(ProcDataGen2012On!BF19="","",ProcDataGen2012On!BF19)</f>
        <v>0</v>
      </c>
      <c r="M55">
        <f>IF(ProcDataGen2012On!BG19="","",ProcDataGen2012On!BG19)</f>
        <v>0</v>
      </c>
      <c r="N55">
        <f>IF(ProcDataGen2012On!BH19="","",ProcDataGen2012On!BH19)</f>
        <v>0</v>
      </c>
      <c r="O55" t="str">
        <f>IF(ProcDataGen2012On!BI19="","",ProcDataGen2012On!BI19)</f>
        <v/>
      </c>
      <c r="R55">
        <f>SUM(D55:O55)</f>
        <v>0.96399999999999997</v>
      </c>
    </row>
    <row r="56" spans="3:18" x14ac:dyDescent="0.2">
      <c r="C56" t="str">
        <f>ProcDataGen2012On!C20</f>
        <v>Solar PV tracking</v>
      </c>
      <c r="D56">
        <f>IF(ProcDataGen2012On!AW20="","",ProcDataGen2012On!AW20)</f>
        <v>0.02</v>
      </c>
      <c r="E56">
        <f>IF(ProcDataGen2012On!AX20="","",ProcDataGen2012On!AX20)</f>
        <v>0.41899999999999998</v>
      </c>
      <c r="F56">
        <f>IF(ProcDataGen2012On!AY20="","",ProcDataGen2012On!AY20)</f>
        <v>0</v>
      </c>
      <c r="G56">
        <f>IF(ProcDataGen2012On!AZ20="","",ProcDataGen2012On!AZ20)</f>
        <v>7.4999999999999997E-2</v>
      </c>
      <c r="H56">
        <f>IF(ProcDataGen2012On!BB20="","",ProcDataGen2012On!BB20)</f>
        <v>0</v>
      </c>
      <c r="I56">
        <f>IF(ProcDataGen2012On!BC20="","",ProcDataGen2012On!BC20)</f>
        <v>0</v>
      </c>
      <c r="J56">
        <f>IF(ProcDataGen2012On!BD20="","",ProcDataGen2012On!BD20)</f>
        <v>0</v>
      </c>
      <c r="K56">
        <f>IF(ProcDataGen2012On!BE20="","",ProcDataGen2012On!BE20)</f>
        <v>0.68300000000000005</v>
      </c>
      <c r="L56">
        <f>IF(ProcDataGen2012On!BF20="","",ProcDataGen2012On!BF20)</f>
        <v>5.5E-2</v>
      </c>
      <c r="M56">
        <f>IF(ProcDataGen2012On!BG20="","",ProcDataGen2012On!BG20)</f>
        <v>1.325</v>
      </c>
      <c r="N56">
        <f>IF(ProcDataGen2012On!BH20="","",ProcDataGen2012On!BH20)</f>
        <v>1.62</v>
      </c>
      <c r="O56" t="str">
        <f>IF(ProcDataGen2012On!BI20="","",ProcDataGen2012On!BI20)</f>
        <v/>
      </c>
      <c r="R56">
        <f t="shared" ref="R56:R57" si="0">SUM(D56:O56)</f>
        <v>4.1970000000000001</v>
      </c>
    </row>
    <row r="57" spans="3:18" x14ac:dyDescent="0.2">
      <c r="C57" t="str">
        <f>ProcDataGen2012On!C21</f>
        <v>Wind</v>
      </c>
      <c r="D57">
        <f>IF(ProcDataGen2012On!AW21="","",ProcDataGen2012On!AW21)</f>
        <v>0.25700000000000001</v>
      </c>
      <c r="E57">
        <f>IF(ProcDataGen2012On!AX21="","",ProcDataGen2012On!AX21)</f>
        <v>0.371</v>
      </c>
      <c r="F57">
        <f>IF(ProcDataGen2012On!AY21="","",ProcDataGen2012On!AY21)</f>
        <v>0.55100000000000005</v>
      </c>
      <c r="G57">
        <f>IF(ProcDataGen2012On!AZ21="","",ProcDataGen2012On!AZ21)</f>
        <v>0.39400000000000002</v>
      </c>
      <c r="H57">
        <f>IF(ProcDataGen2012On!BB21="","",ProcDataGen2012On!BB21)</f>
        <v>0.621</v>
      </c>
      <c r="I57">
        <f>IF(ProcDataGen2012On!BC21="","",ProcDataGen2012On!BC21)</f>
        <v>0</v>
      </c>
      <c r="J57">
        <f>IF(ProcDataGen2012On!BD21="","",ProcDataGen2012On!BD21)</f>
        <v>0</v>
      </c>
      <c r="K57">
        <f>IF(ProcDataGen2012On!BE21="","",ProcDataGen2012On!BE21)</f>
        <v>0.41599999999999998</v>
      </c>
      <c r="L57">
        <f>IF(ProcDataGen2012On!BF21="","",ProcDataGen2012On!BF21)</f>
        <v>0.52800000000000002</v>
      </c>
      <c r="M57">
        <f>IF(ProcDataGen2012On!BG21="","",ProcDataGen2012On!BG21)</f>
        <v>7.0000000000000007E-2</v>
      </c>
      <c r="N57">
        <f>IF(ProcDataGen2012On!BH21="","",ProcDataGen2012On!BH21)</f>
        <v>1.256</v>
      </c>
      <c r="O57" t="str">
        <f>IF(ProcDataGen2012On!BI21="","",ProcDataGen2012On!BI21)</f>
        <v/>
      </c>
      <c r="R57">
        <f t="shared" si="0"/>
        <v>4.4639999999999995</v>
      </c>
    </row>
    <row r="58" spans="3:18" x14ac:dyDescent="0.2">
      <c r="C58" t="str">
        <f>ProcDataGen2012On!C22</f>
        <v>Imports from Region</v>
      </c>
      <c r="D58" t="str">
        <f>IF(ProcDataGen2012On!AW22="","",ProcDataGen2012On!AW22)</f>
        <v/>
      </c>
      <c r="E58" t="str">
        <f>IF(ProcDataGen2012On!AX22="","",ProcDataGen2012On!AX22)</f>
        <v/>
      </c>
      <c r="F58" t="str">
        <f>IF(ProcDataGen2012On!AY22="","",ProcDataGen2012On!AY22)</f>
        <v/>
      </c>
      <c r="G58" t="str">
        <f>IF(ProcDataGen2012On!AZ22="","",ProcDataGen2012On!AZ22)</f>
        <v/>
      </c>
      <c r="H58" t="str">
        <f>IF(ProcDataGen2012On!BB22="","",ProcDataGen2012On!BB22)</f>
        <v/>
      </c>
      <c r="I58" t="str">
        <f>IF(ProcDataGen2012On!BC22="","",ProcDataGen2012On!BC22)</f>
        <v/>
      </c>
      <c r="J58" t="str">
        <f>IF(ProcDataGen2012On!BD22="","",ProcDataGen2012On!BD22)</f>
        <v/>
      </c>
      <c r="K58" t="str">
        <f>IF(ProcDataGen2012On!BE22="","",ProcDataGen2012On!BE22)</f>
        <v/>
      </c>
      <c r="L58" t="str">
        <f>IF(ProcDataGen2012On!BF22="","",ProcDataGen2012On!BF22)</f>
        <v/>
      </c>
      <c r="M58">
        <f>IF(ProcDataGen2012On!BG22="","",ProcDataGen2012On!BG22)</f>
        <v>0.15</v>
      </c>
      <c r="N58" t="str">
        <f>IF(ProcDataGen2012On!BH22="","",ProcDataGen2012On!BH22)</f>
        <v/>
      </c>
      <c r="O58">
        <f>IF(ProcDataGen2012On!BI22="","",ProcDataGen2012On!BI22)</f>
        <v>0.80500000000000005</v>
      </c>
    </row>
    <row r="59" spans="3:18" x14ac:dyDescent="0.2">
      <c r="C59" t="str">
        <f>ProcDataGen2012On!C23</f>
        <v>Open Cycle Gas Turbine - LNG</v>
      </c>
      <c r="D59" t="str">
        <f>IF(ProcDataGen2012On!AW23="","",ProcDataGen2012On!AW23)</f>
        <v/>
      </c>
      <c r="E59" t="str">
        <f>IF(ProcDataGen2012On!AX23="","",ProcDataGen2012On!AX23)</f>
        <v/>
      </c>
      <c r="F59" t="str">
        <f>IF(ProcDataGen2012On!AY23="","",ProcDataGen2012On!AY23)</f>
        <v/>
      </c>
      <c r="G59" t="str">
        <f>IF(ProcDataGen2012On!AZ23="","",ProcDataGen2012On!AZ23)</f>
        <v/>
      </c>
      <c r="H59" t="str">
        <f>IF(ProcDataGen2012On!BB23="","",ProcDataGen2012On!BB23)</f>
        <v/>
      </c>
      <c r="I59" t="str">
        <f>IF(ProcDataGen2012On!BC23="","",ProcDataGen2012On!BC23)</f>
        <v/>
      </c>
      <c r="J59" t="str">
        <f>IF(ProcDataGen2012On!BD23="","",ProcDataGen2012On!BD23)</f>
        <v/>
      </c>
      <c r="K59" t="str">
        <f>IF(ProcDataGen2012On!BE23="","",ProcDataGen2012On!BE23)</f>
        <v/>
      </c>
      <c r="L59" t="str">
        <f>IF(ProcDataGen2012On!BF23="","",ProcDataGen2012On!BF23)</f>
        <v/>
      </c>
      <c r="M59" t="str">
        <f>IF(ProcDataGen2012On!BG23="","",ProcDataGen2012On!BG23)</f>
        <v/>
      </c>
      <c r="N59" t="str">
        <f>IF(ProcDataGen2012On!BH23="","",ProcDataGen2012On!BH23)</f>
        <v/>
      </c>
      <c r="O59" t="str">
        <f>IF(ProcDataGen2012On!BI23="","",ProcDataGen2012On!BI23)</f>
        <v/>
      </c>
    </row>
    <row r="60" spans="3:18" x14ac:dyDescent="0.2">
      <c r="C60" t="str">
        <f>ProcDataGen2012On!C24</f>
        <v>Hydrogen Turbine or FuelCell</v>
      </c>
      <c r="D60" t="str">
        <f>IF(ProcDataGen2012On!AW24="","",ProcDataGen2012On!AW24)</f>
        <v/>
      </c>
      <c r="E60" t="str">
        <f>IF(ProcDataGen2012On!AX24="","",ProcDataGen2012On!AX24)</f>
        <v/>
      </c>
      <c r="F60" t="str">
        <f>IF(ProcDataGen2012On!AY24="","",ProcDataGen2012On!AY24)</f>
        <v/>
      </c>
      <c r="G60" t="str">
        <f>IF(ProcDataGen2012On!AZ24="","",ProcDataGen2012On!AZ24)</f>
        <v/>
      </c>
      <c r="H60" t="str">
        <f>IF(ProcDataGen2012On!BB24="","",ProcDataGen2012On!BB24)</f>
        <v/>
      </c>
      <c r="I60" t="str">
        <f>IF(ProcDataGen2012On!BC24="","",ProcDataGen2012On!BC24)</f>
        <v/>
      </c>
      <c r="J60" t="str">
        <f>IF(ProcDataGen2012On!BD24="","",ProcDataGen2012On!BD24)</f>
        <v/>
      </c>
      <c r="K60" t="str">
        <f>IF(ProcDataGen2012On!BE24="","",ProcDataGen2012On!BE24)</f>
        <v/>
      </c>
      <c r="L60" t="str">
        <f>IF(ProcDataGen2012On!BF24="","",ProcDataGen2012On!BF24)</f>
        <v/>
      </c>
      <c r="M60" t="str">
        <f>IF(ProcDataGen2012On!BG24="","",ProcDataGen2012On!BG24)</f>
        <v/>
      </c>
      <c r="N60" t="str">
        <f>IF(ProcDataGen2012On!BH24="","",ProcDataGen2012On!BH24)</f>
        <v/>
      </c>
      <c r="O60" t="str">
        <f>IF(ProcDataGen2012On!BI24="","",ProcDataGen2012On!BI24)</f>
        <v/>
      </c>
    </row>
    <row r="61" spans="3:18" x14ac:dyDescent="0.2">
      <c r="C61" t="str">
        <f>ProcDataGen2012On!C25</f>
        <v>Combined Cycle Gas Turbine - LNG</v>
      </c>
      <c r="D61" t="str">
        <f>IF(ProcDataGen2012On!AW25="","",ProcDataGen2012On!AW25)</f>
        <v/>
      </c>
      <c r="E61" t="str">
        <f>IF(ProcDataGen2012On!AX25="","",ProcDataGen2012On!AX25)</f>
        <v/>
      </c>
      <c r="F61" t="str">
        <f>IF(ProcDataGen2012On!AY25="","",ProcDataGen2012On!AY25)</f>
        <v/>
      </c>
      <c r="G61" t="str">
        <f>IF(ProcDataGen2012On!AZ25="","",ProcDataGen2012On!AZ25)</f>
        <v/>
      </c>
      <c r="H61" t="str">
        <f>IF(ProcDataGen2012On!BB25="","",ProcDataGen2012On!BB25)</f>
        <v/>
      </c>
      <c r="I61" t="str">
        <f>IF(ProcDataGen2012On!BC25="","",ProcDataGen2012On!BC25)</f>
        <v/>
      </c>
      <c r="J61" t="str">
        <f>IF(ProcDataGen2012On!BD25="","",ProcDataGen2012On!BD25)</f>
        <v/>
      </c>
      <c r="K61" t="str">
        <f>IF(ProcDataGen2012On!BE25="","",ProcDataGen2012On!BE25)</f>
        <v/>
      </c>
      <c r="L61" t="str">
        <f>IF(ProcDataGen2012On!BF25="","",ProcDataGen2012On!BF25)</f>
        <v/>
      </c>
      <c r="M61" t="str">
        <f>IF(ProcDataGen2012On!BG25="","",ProcDataGen2012On!BG25)</f>
        <v/>
      </c>
      <c r="N61" t="str">
        <f>IF(ProcDataGen2012On!BH25="","",ProcDataGen2012On!BH25)</f>
        <v/>
      </c>
      <c r="O61" t="str">
        <f>IF(ProcDataGen2012On!BI25="","",ProcDataGen2012On!BI25)</f>
        <v/>
      </c>
    </row>
    <row r="62" spans="3:18" x14ac:dyDescent="0.2">
      <c r="C62" t="str">
        <f>ProcDataGen2012On!C26</f>
        <v>Combined Cycle Gas Turbine - LNG with CCS</v>
      </c>
      <c r="D62" t="str">
        <f>IF(ProcDataGen2012On!AW26="","",ProcDataGen2012On!AW26)</f>
        <v/>
      </c>
      <c r="E62" t="str">
        <f>IF(ProcDataGen2012On!AX26="","",ProcDataGen2012On!AX26)</f>
        <v/>
      </c>
      <c r="F62" t="str">
        <f>IF(ProcDataGen2012On!AY26="","",ProcDataGen2012On!AY26)</f>
        <v/>
      </c>
      <c r="G62" t="str">
        <f>IF(ProcDataGen2012On!AZ26="","",ProcDataGen2012On!AZ26)</f>
        <v/>
      </c>
      <c r="H62" t="str">
        <f>IF(ProcDataGen2012On!BB26="","",ProcDataGen2012On!BB26)</f>
        <v/>
      </c>
      <c r="I62" t="str">
        <f>IF(ProcDataGen2012On!BC26="","",ProcDataGen2012On!BC26)</f>
        <v/>
      </c>
      <c r="J62" t="str">
        <f>IF(ProcDataGen2012On!BD26="","",ProcDataGen2012On!BD26)</f>
        <v/>
      </c>
      <c r="K62" t="str">
        <f>IF(ProcDataGen2012On!BE26="","",ProcDataGen2012On!BE26)</f>
        <v/>
      </c>
      <c r="L62" t="str">
        <f>IF(ProcDataGen2012On!BF26="","",ProcDataGen2012On!BF26)</f>
        <v/>
      </c>
      <c r="M62" t="str">
        <f>IF(ProcDataGen2012On!BG26="","",ProcDataGen2012On!BG26)</f>
        <v/>
      </c>
      <c r="N62" t="str">
        <f>IF(ProcDataGen2012On!BH26="","",ProcDataGen2012On!BH26)</f>
        <v/>
      </c>
      <c r="O62" t="str">
        <f>IF(ProcDataGen2012On!BI26="","",ProcDataGen2012On!BI26)</f>
        <v/>
      </c>
    </row>
    <row r="63" spans="3:18" x14ac:dyDescent="0.2">
      <c r="C63" t="str">
        <f>ProcDataGen2012On!C27</f>
        <v>Gas Engines - LNG</v>
      </c>
      <c r="D63" t="str">
        <f>IF(ProcDataGen2012On!AW27="","",ProcDataGen2012On!AW27)</f>
        <v/>
      </c>
      <c r="E63" t="str">
        <f>IF(ProcDataGen2012On!AX27="","",ProcDataGen2012On!AX27)</f>
        <v/>
      </c>
      <c r="F63" t="str">
        <f>IF(ProcDataGen2012On!AY27="","",ProcDataGen2012On!AY27)</f>
        <v/>
      </c>
      <c r="G63" t="str">
        <f>IF(ProcDataGen2012On!AZ27="","",ProcDataGen2012On!AZ27)</f>
        <v/>
      </c>
      <c r="H63" t="str">
        <f>IF(ProcDataGen2012On!BB27="","",ProcDataGen2012On!BB27)</f>
        <v/>
      </c>
      <c r="I63" t="str">
        <f>IF(ProcDataGen2012On!BC27="","",ProcDataGen2012On!BC27)</f>
        <v/>
      </c>
      <c r="J63" t="str">
        <f>IF(ProcDataGen2012On!BD27="","",ProcDataGen2012On!BD27)</f>
        <v/>
      </c>
      <c r="K63" t="str">
        <f>IF(ProcDataGen2012On!BE27="","",ProcDataGen2012On!BE27)</f>
        <v/>
      </c>
      <c r="L63" t="str">
        <f>IF(ProcDataGen2012On!BF27="","",ProcDataGen2012On!BF27)</f>
        <v/>
      </c>
      <c r="M63" t="e">
        <f>IF(ProcDataGen2012On!#REF!="","",ProcDataGen2012On!#REF!)</f>
        <v>#REF!</v>
      </c>
      <c r="N63" t="str">
        <f>IF(ProcDataGen2012On!BH27="","",ProcDataGen2012On!BH27)</f>
        <v/>
      </c>
      <c r="O63" t="str">
        <f>IF(ProcDataGen2012On!BI27="","",ProcDataGen2012On!BI27)</f>
        <v/>
      </c>
    </row>
    <row r="64" spans="3:18" x14ac:dyDescent="0.2">
      <c r="C64" t="str">
        <f>ProcDataGen2012On!C28</f>
        <v>Biomass municipal waste</v>
      </c>
      <c r="D64" t="str">
        <f>IF(ProcDataGen2012On!AW28="","",ProcDataGen2012On!AW28)</f>
        <v/>
      </c>
      <c r="E64" t="str">
        <f>IF(ProcDataGen2012On!AX28="","",ProcDataGen2012On!AX28)</f>
        <v/>
      </c>
      <c r="F64" t="str">
        <f>IF(ProcDataGen2012On!AY28="","",ProcDataGen2012On!AY28)</f>
        <v/>
      </c>
      <c r="G64" t="str">
        <f>IF(ProcDataGen2012On!AZ28="","",ProcDataGen2012On!AZ28)</f>
        <v/>
      </c>
      <c r="H64" t="str">
        <f>IF(ProcDataGen2012On!BB28="","",ProcDataGen2012On!BB28)</f>
        <v/>
      </c>
      <c r="I64" t="str">
        <f>IF(ProcDataGen2012On!BC28="","",ProcDataGen2012On!BC28)</f>
        <v/>
      </c>
      <c r="J64" t="str">
        <f>IF(ProcDataGen2012On!BD28="","",ProcDataGen2012On!BD28)</f>
        <v/>
      </c>
      <c r="K64" t="str">
        <f>IF(ProcDataGen2012On!BE28="","",ProcDataGen2012On!BE28)</f>
        <v/>
      </c>
      <c r="L64" t="str">
        <f>IF(ProcDataGen2012On!BF28="","",ProcDataGen2012On!BF28)</f>
        <v/>
      </c>
      <c r="M64" t="str">
        <f>IF(ProcDataGen2012On!BG28="","",ProcDataGen2012On!BG28)</f>
        <v/>
      </c>
      <c r="N64" t="str">
        <f>IF(ProcDataGen2012On!BH28="","",ProcDataGen2012On!BH28)</f>
        <v/>
      </c>
      <c r="O64" t="str">
        <f>IF(ProcDataGen2012On!BI28="","",ProcDataGen2012On!BI28)</f>
        <v/>
      </c>
    </row>
    <row r="65" spans="3:18" x14ac:dyDescent="0.2">
      <c r="C65" t="str">
        <f>ProcDataGen2012On!C29</f>
        <v>Landfill gas</v>
      </c>
      <c r="D65" t="str">
        <f>IF(ProcDataGen2012On!AW29="","",ProcDataGen2012On!AW29)</f>
        <v/>
      </c>
      <c r="E65" t="str">
        <f>IF(ProcDataGen2012On!AX29="","",ProcDataGen2012On!AX29)</f>
        <v/>
      </c>
      <c r="F65" t="str">
        <f>IF(ProcDataGen2012On!AY29="","",ProcDataGen2012On!AY29)</f>
        <v/>
      </c>
      <c r="G65" t="str">
        <f>IF(ProcDataGen2012On!AZ29="","",ProcDataGen2012On!AZ29)</f>
        <v/>
      </c>
      <c r="H65" t="str">
        <f>IF(ProcDataGen2012On!BB29="","",ProcDataGen2012On!BB29)</f>
        <v/>
      </c>
      <c r="I65" t="str">
        <f>IF(ProcDataGen2012On!BC29="","",ProcDataGen2012On!BC29)</f>
        <v/>
      </c>
      <c r="J65" t="str">
        <f>IF(ProcDataGen2012On!BD29="","",ProcDataGen2012On!BD29)</f>
        <v/>
      </c>
      <c r="K65" t="str">
        <f>IF(ProcDataGen2012On!BE29="","",ProcDataGen2012On!BE29)</f>
        <v/>
      </c>
      <c r="L65" t="str">
        <f>IF(ProcDataGen2012On!BF29="","",ProcDataGen2012On!BF29)</f>
        <v/>
      </c>
      <c r="M65" t="str">
        <f>IF(ProcDataGen2012On!BG29="","",ProcDataGen2012On!BG29)</f>
        <v/>
      </c>
      <c r="N65" t="str">
        <f>IF(ProcDataGen2012On!BH29="","",ProcDataGen2012On!BH29)</f>
        <v/>
      </c>
      <c r="O65" t="str">
        <f>IF(ProcDataGen2012On!BI29="","",ProcDataGen2012On!BI29)</f>
        <v/>
      </c>
    </row>
    <row r="66" spans="3:18" x14ac:dyDescent="0.2">
      <c r="C66" t="str">
        <f>ProcDataGen2012On!C30</f>
        <v>Utility Scale Storage - 4hrs</v>
      </c>
      <c r="D66" t="str">
        <f>IF(ProcDataGen2012On!AW30="","",ProcDataGen2012On!AW30)</f>
        <v/>
      </c>
      <c r="E66" t="str">
        <f>IF(ProcDataGen2012On!AX30="","",ProcDataGen2012On!AX30)</f>
        <v/>
      </c>
      <c r="F66" t="str">
        <f>IF(ProcDataGen2012On!AY30="","",ProcDataGen2012On!AY30)</f>
        <v/>
      </c>
      <c r="G66" t="str">
        <f>IF(ProcDataGen2012On!AZ30="","",ProcDataGen2012On!AZ30)</f>
        <v/>
      </c>
      <c r="H66">
        <f>IF(ProcDataGen2012On!BB30="","",ProcDataGen2012On!BB30)</f>
        <v>0</v>
      </c>
      <c r="I66">
        <f>IF(ProcDataGen2012On!BC30="","",ProcDataGen2012On!BC30)</f>
        <v>0</v>
      </c>
      <c r="J66">
        <f>IF(ProcDataGen2012On!BD30="","",ProcDataGen2012On!BD30)</f>
        <v>0</v>
      </c>
      <c r="K66">
        <f>IF(ProcDataGen2012On!BE30="","",ProcDataGen2012On!BE30)</f>
        <v>0</v>
      </c>
      <c r="L66">
        <f>IF(ProcDataGen2012On!BF30="","",ProcDataGen2012On!BF30)</f>
        <v>0</v>
      </c>
      <c r="M66" t="e">
        <f>IF(ProcDataGen2012On!#REF!="","",ProcDataGen2012On!#REF!)</f>
        <v>#REF!</v>
      </c>
      <c r="N66">
        <f>IF(ProcDataGen2012On!BH30="","",ProcDataGen2012On!BH30)</f>
        <v>0.184</v>
      </c>
      <c r="O66">
        <f>IF(ProcDataGen2012On!BI30="","",ProcDataGen2012On!BI30)</f>
        <v>0.51300000000000001</v>
      </c>
    </row>
    <row r="67" spans="3:18" x14ac:dyDescent="0.2">
      <c r="D67" t="str">
        <f>IF(ProcDataGen2012On!AW31="","",ProcDataGen2012On!AW31)</f>
        <v/>
      </c>
      <c r="E67" t="str">
        <f>IF(ProcDataGen2012On!AX31="","",ProcDataGen2012On!AX31)</f>
        <v/>
      </c>
      <c r="F67" t="str">
        <f>IF(ProcDataGen2012On!AY31="","",ProcDataGen2012On!AY31)</f>
        <v/>
      </c>
      <c r="G67" t="str">
        <f>IF(ProcDataGen2012On!AZ31="","",ProcDataGen2012On!AZ31)</f>
        <v/>
      </c>
      <c r="H67" t="str">
        <f>IF(ProcDataGen2012On!BB31="","",ProcDataGen2012On!BB31)</f>
        <v/>
      </c>
      <c r="I67" t="str">
        <f>IF(ProcDataGen2012On!BC31="","",ProcDataGen2012On!BC31)</f>
        <v/>
      </c>
      <c r="J67" t="str">
        <f>IF(ProcDataGen2012On!BD31="","",ProcDataGen2012On!BD31)</f>
        <v/>
      </c>
      <c r="K67" t="str">
        <f>IF(ProcDataGen2012On!BE31="","",ProcDataGen2012On!BE31)</f>
        <v/>
      </c>
      <c r="L67" t="str">
        <f>IF(ProcDataGen2012On!BF31="","",ProcDataGen2012On!BF31)</f>
        <v/>
      </c>
      <c r="M67" t="str">
        <f>IF(ProcDataGen2012On!BG31="","",ProcDataGen2012On!BG31)</f>
        <v/>
      </c>
      <c r="N67" t="str">
        <f>IF(ProcDataGen2012On!BH31="","",ProcDataGen2012On!BH31)</f>
        <v/>
      </c>
      <c r="O67" t="str">
        <f>IF(ProcDataGen2012On!BI31="","",ProcDataGen2012On!BI31)</f>
        <v/>
      </c>
    </row>
    <row r="68" spans="3:18" x14ac:dyDescent="0.2">
      <c r="C68" t="str">
        <f>ProcDataGen2012On!C34</f>
        <v>Solar PV rooftop commercial</v>
      </c>
      <c r="D68">
        <f>IF(ProcDataGen2012On!AW34="","",ProcDataGen2012On!AW34)</f>
        <v>0</v>
      </c>
      <c r="E68">
        <f>IF(ProcDataGen2012On!AX34="","",ProcDataGen2012On!AX34)</f>
        <v>1.3090000000000001E-2</v>
      </c>
      <c r="F68">
        <f>IF(ProcDataGen2012On!AY34="","",ProcDataGen2012On!AY34)</f>
        <v>9.6000000000000009E-3</v>
      </c>
      <c r="G68">
        <f>IF(ProcDataGen2012On!AZ34="","",ProcDataGen2012On!AZ34)</f>
        <v>1.34E-2</v>
      </c>
      <c r="H68">
        <f>IF(ProcDataGen2012On!BB34="","",ProcDataGen2012On!BB34)</f>
        <v>0.02</v>
      </c>
      <c r="I68">
        <f>IF(ProcDataGen2012On!BC34="","",ProcDataGen2012On!BC34)</f>
        <v>0.03</v>
      </c>
      <c r="J68">
        <f>IF(ProcDataGen2012On!BD34="","",ProcDataGen2012On!BD34)</f>
        <v>3.5000000000000003E-2</v>
      </c>
      <c r="K68">
        <f>IF(ProcDataGen2012On!BE34="","",ProcDataGen2012On!BE34)</f>
        <v>0.04</v>
      </c>
      <c r="L68">
        <f>IF(ProcDataGen2012On!BF34="","",ProcDataGen2012On!BF34)</f>
        <v>9.6600000000000005E-2</v>
      </c>
      <c r="M68">
        <f>IF(ProcDataGen2012On!BG34="","",ProcDataGen2012On!BG34)</f>
        <v>0.20075000000000001</v>
      </c>
      <c r="N68">
        <f>IF(ProcDataGen2012On!BH34="","",ProcDataGen2012On!BH34)</f>
        <v>0.24</v>
      </c>
      <c r="O68">
        <f>IF(ProcDataGen2012On!BI34="","",ProcDataGen2012On!BI34)</f>
        <v>0.19500000000000001</v>
      </c>
    </row>
    <row r="69" spans="3:18" x14ac:dyDescent="0.2">
      <c r="C69" t="str">
        <f>ProcDataGen2012On!C35</f>
        <v>Solar PV rooftop residential</v>
      </c>
      <c r="D69">
        <f>IF(ProcDataGen2012On!AW35="","",ProcDataGen2012On!AW35)</f>
        <v>0</v>
      </c>
      <c r="E69">
        <f>IF(ProcDataGen2012On!AX35="","",ProcDataGen2012On!AX35)</f>
        <v>9.1629999999999989E-2</v>
      </c>
      <c r="F69">
        <f>IF(ProcDataGen2012On!AY35="","",ProcDataGen2012On!AY35)</f>
        <v>6.4457142857142852E-2</v>
      </c>
      <c r="G69">
        <f>IF(ProcDataGen2012On!AZ35="","",ProcDataGen2012On!AZ35)</f>
        <v>8.6142857142857132E-2</v>
      </c>
      <c r="H69">
        <f>IF(ProcDataGen2012On!BB35="","",ProcDataGen2012On!BB35)</f>
        <v>0.12285714285714285</v>
      </c>
      <c r="I69">
        <f>IF(ProcDataGen2012On!BC35="","",ProcDataGen2012On!BC35)</f>
        <v>0.17571428571428568</v>
      </c>
      <c r="J69">
        <f>IF(ProcDataGen2012On!BD35="","",ProcDataGen2012On!BD35)</f>
        <v>0.19499999999999998</v>
      </c>
      <c r="K69">
        <f>IF(ProcDataGen2012On!BE35="","",ProcDataGen2012On!BE35)</f>
        <v>0.21142857142857138</v>
      </c>
      <c r="L69">
        <f>IF(ProcDataGen2012On!BF35="","",ProcDataGen2012On!BF35)</f>
        <v>0.48299999999999998</v>
      </c>
      <c r="M69">
        <f>IF(ProcDataGen2012On!BG35="","",ProcDataGen2012On!BG35)</f>
        <v>0.90207142857142852</v>
      </c>
      <c r="N69">
        <f>IF(ProcDataGen2012On!BH35="","",ProcDataGen2012On!BH35)</f>
        <v>0.97714285714285709</v>
      </c>
      <c r="O69">
        <f>IF(ProcDataGen2012On!BI35="","",ProcDataGen2012On!BI35)</f>
        <v>0.7242857142857142</v>
      </c>
    </row>
    <row r="70" spans="3:18" x14ac:dyDescent="0.2">
      <c r="C70" t="str">
        <f>ProcDataGen2012On!C36</f>
        <v>Solar PV rooftop Industry</v>
      </c>
      <c r="D70">
        <f>IF(ProcDataGen2012On!AW36="","",ProcDataGen2012On!AW36)</f>
        <v>0</v>
      </c>
      <c r="E70">
        <f>IF(ProcDataGen2012On!AX36="","",ProcDataGen2012On!AX36)</f>
        <v>6.5450000000000065E-3</v>
      </c>
      <c r="F70">
        <f>IF(ProcDataGen2012On!AY36="","",ProcDataGen2012On!AY36)</f>
        <v>6.1714285714285742E-3</v>
      </c>
      <c r="G70">
        <f>IF(ProcDataGen2012On!AZ36="","",ProcDataGen2012On!AZ36)</f>
        <v>1.0528571428571432E-2</v>
      </c>
      <c r="H70">
        <f>IF(ProcDataGen2012On!BB36="","",ProcDataGen2012On!BB36)</f>
        <v>1.8571428571428576E-2</v>
      </c>
      <c r="I70">
        <f>IF(ProcDataGen2012On!BC36="","",ProcDataGen2012On!BC36)</f>
        <v>3.2142857142857147E-2</v>
      </c>
      <c r="J70">
        <f>IF(ProcDataGen2012On!BD36="","",ProcDataGen2012On!BD36)</f>
        <v>4.2500000000000003E-2</v>
      </c>
      <c r="K70">
        <f>IF(ProcDataGen2012On!BE36="","",ProcDataGen2012On!BE36)</f>
        <v>5.4285714285714284E-2</v>
      </c>
      <c r="L70">
        <f>IF(ProcDataGen2012On!BF36="","",ProcDataGen2012On!BF36)</f>
        <v>0.1449</v>
      </c>
      <c r="M70">
        <f>IF(ProcDataGen2012On!BG36="","",ProcDataGen2012On!BG36)</f>
        <v>0.26983928571428584</v>
      </c>
      <c r="N70">
        <f>IF(ProcDataGen2012On!BH36="","",ProcDataGen2012On!BH36)</f>
        <v>0.29142857142857137</v>
      </c>
      <c r="O70">
        <f>IF(ProcDataGen2012On!BI36="","",ProcDataGen2012On!BI36)</f>
        <v>0.21535714285714302</v>
      </c>
    </row>
    <row r="73" spans="3:18" x14ac:dyDescent="0.2">
      <c r="C73" s="330" t="s">
        <v>2144</v>
      </c>
    </row>
    <row r="74" spans="3:18" x14ac:dyDescent="0.2">
      <c r="D74">
        <v>2014</v>
      </c>
      <c r="E74">
        <v>2015</v>
      </c>
      <c r="F74">
        <v>2016</v>
      </c>
      <c r="G74">
        <v>2017</v>
      </c>
      <c r="H74">
        <v>2018</v>
      </c>
      <c r="I74">
        <v>2019</v>
      </c>
      <c r="J74">
        <v>2020</v>
      </c>
      <c r="K74">
        <v>2021</v>
      </c>
      <c r="L74">
        <v>2022</v>
      </c>
      <c r="M74">
        <v>2023</v>
      </c>
      <c r="N74">
        <v>2024</v>
      </c>
      <c r="O74">
        <v>2025</v>
      </c>
      <c r="P74">
        <v>2026</v>
      </c>
    </row>
    <row r="75" spans="3:18" x14ac:dyDescent="0.2">
      <c r="C75" t="e">
        <f>#REF!</f>
        <v>#REF!</v>
      </c>
      <c r="M75" t="e">
        <f>IF(#REF!="","",#REF!)</f>
        <v>#REF!</v>
      </c>
      <c r="N75" t="e">
        <f>IF(#REF!="","",#REF!)</f>
        <v>#REF!</v>
      </c>
      <c r="O75" t="e">
        <f>IF(#REF!="","",#REF!)</f>
        <v>#REF!</v>
      </c>
      <c r="P75" t="e">
        <f>IF(#REF!="","",#REF!)</f>
        <v>#REF!</v>
      </c>
      <c r="Q75" t="e">
        <f>IF(#REF!="","",#REF!)</f>
        <v>#REF!</v>
      </c>
      <c r="R75" t="e">
        <f>IF(#REF!="","",#REF!)</f>
        <v>#REF!</v>
      </c>
    </row>
    <row r="76" spans="3:18" x14ac:dyDescent="0.2">
      <c r="C76" t="e">
        <f>#REF!</f>
        <v>#REF!</v>
      </c>
      <c r="M76" t="e">
        <f>IF(#REF!="","",#REF!)</f>
        <v>#REF!</v>
      </c>
      <c r="N76" t="e">
        <f>IF(#REF!="","",#REF!)</f>
        <v>#REF!</v>
      </c>
      <c r="O76" t="e">
        <f>IF(#REF!="","",#REF!)</f>
        <v>#REF!</v>
      </c>
      <c r="P76" t="e">
        <f>IF(#REF!="","",#REF!)</f>
        <v>#REF!</v>
      </c>
      <c r="Q76" t="e">
        <f>IF(#REF!="","",#REF!)</f>
        <v>#REF!</v>
      </c>
      <c r="R76" t="e">
        <f>IF(#REF!="","",#REF!)</f>
        <v>#REF!</v>
      </c>
    </row>
    <row r="77" spans="3:18" x14ac:dyDescent="0.2">
      <c r="C77" t="e">
        <f>#REF!</f>
        <v>#REF!</v>
      </c>
      <c r="M77" t="e">
        <f>IF(#REF!="","",#REF!)</f>
        <v>#REF!</v>
      </c>
      <c r="N77" t="e">
        <f>IF(#REF!="","",#REF!)</f>
        <v>#REF!</v>
      </c>
      <c r="O77" t="e">
        <f>IF(#REF!="","",#REF!)</f>
        <v>#REF!</v>
      </c>
      <c r="P77" t="e">
        <f>IF(#REF!="","",#REF!)</f>
        <v>#REF!</v>
      </c>
      <c r="Q77" t="e">
        <f>IF(#REF!="","",#REF!)</f>
        <v>#REF!</v>
      </c>
      <c r="R77" t="e">
        <f>IF(#REF!="","",#REF!)</f>
        <v>#REF!</v>
      </c>
    </row>
    <row r="78" spans="3:18" x14ac:dyDescent="0.2">
      <c r="C78" t="e">
        <f>#REF!</f>
        <v>#REF!</v>
      </c>
      <c r="M78" t="e">
        <f>IF(#REF!="","",#REF!)</f>
        <v>#REF!</v>
      </c>
      <c r="N78" t="e">
        <f>IF(#REF!="","",#REF!)</f>
        <v>#REF!</v>
      </c>
      <c r="O78" t="e">
        <f>IF(#REF!="","",#REF!)</f>
        <v>#REF!</v>
      </c>
      <c r="P78" t="e">
        <f>IF(#REF!="","",#REF!)</f>
        <v>#REF!</v>
      </c>
      <c r="Q78" t="e">
        <f>IF(#REF!="","",#REF!)</f>
        <v>#REF!</v>
      </c>
      <c r="R78" t="e">
        <f>IF(#REF!="","",#REF!)</f>
        <v>#REF!</v>
      </c>
    </row>
    <row r="79" spans="3:18" x14ac:dyDescent="0.2">
      <c r="C79" t="e">
        <f>#REF!</f>
        <v>#REF!</v>
      </c>
      <c r="M79" t="e">
        <f>IF(#REF!="","",#REF!)</f>
        <v>#REF!</v>
      </c>
      <c r="N79" t="e">
        <f>IF(#REF!="","",#REF!)</f>
        <v>#REF!</v>
      </c>
      <c r="O79" t="e">
        <f>IF(#REF!="","",#REF!)</f>
        <v>#REF!</v>
      </c>
      <c r="P79" t="e">
        <f>IF(#REF!="","",#REF!)</f>
        <v>#REF!</v>
      </c>
      <c r="Q79" t="e">
        <f>IF(#REF!="","",#REF!)</f>
        <v>#REF!</v>
      </c>
      <c r="R79" t="e">
        <f>IF(#REF!="","",#REF!)</f>
        <v>#REF!</v>
      </c>
    </row>
    <row r="80" spans="3:18" x14ac:dyDescent="0.2">
      <c r="C80" t="e">
        <f>#REF!</f>
        <v>#REF!</v>
      </c>
      <c r="M80" t="e">
        <f>IF(#REF!="","",#REF!)</f>
        <v>#REF!</v>
      </c>
      <c r="N80" t="e">
        <f>IF(#REF!="","",#REF!)</f>
        <v>#REF!</v>
      </c>
      <c r="O80" t="e">
        <f>IF(#REF!="","",#REF!)</f>
        <v>#REF!</v>
      </c>
      <c r="P80" t="e">
        <f>IF(#REF!="","",#REF!)</f>
        <v>#REF!</v>
      </c>
      <c r="Q80" t="e">
        <f>IF(#REF!="","",#REF!)</f>
        <v>#REF!</v>
      </c>
      <c r="R80" t="e">
        <f>IF(#REF!="","",#REF!)</f>
        <v>#REF!</v>
      </c>
    </row>
    <row r="81" spans="2:22" x14ac:dyDescent="0.2">
      <c r="C81" t="e">
        <f>#REF!</f>
        <v>#REF!</v>
      </c>
      <c r="M81" t="e">
        <f>IF(#REF!="","",#REF!)</f>
        <v>#REF!</v>
      </c>
      <c r="N81" t="e">
        <f>IF(#REF!="","",#REF!)</f>
        <v>#REF!</v>
      </c>
      <c r="O81" t="e">
        <f>IF(#REF!="","",#REF!)</f>
        <v>#REF!</v>
      </c>
      <c r="P81" t="e">
        <f>IF(#REF!="","",#REF!)</f>
        <v>#REF!</v>
      </c>
      <c r="Q81" t="e">
        <f>IF(#REF!="","",#REF!)</f>
        <v>#REF!</v>
      </c>
      <c r="R81" t="e">
        <f>IF(#REF!="","",#REF!)</f>
        <v>#REF!</v>
      </c>
    </row>
    <row r="82" spans="2:22" x14ac:dyDescent="0.2">
      <c r="C82" t="e">
        <f>#REF!</f>
        <v>#REF!</v>
      </c>
      <c r="M82" t="e">
        <f>IF(#REF!="","",#REF!)</f>
        <v>#REF!</v>
      </c>
      <c r="N82" t="e">
        <f>IF(#REF!="","",#REF!)</f>
        <v>#REF!</v>
      </c>
      <c r="O82" t="e">
        <f>IF(#REF!="","",#REF!)</f>
        <v>#REF!</v>
      </c>
      <c r="P82" t="e">
        <f>IF(#REF!="","",#REF!)</f>
        <v>#REF!</v>
      </c>
      <c r="Q82" t="e">
        <f>IF(#REF!="","",#REF!)</f>
        <v>#REF!</v>
      </c>
      <c r="R82" t="e">
        <f>IF(#REF!="","",#REF!)</f>
        <v>#REF!</v>
      </c>
    </row>
    <row r="83" spans="2:22" x14ac:dyDescent="0.2">
      <c r="C83" t="e">
        <f>#REF!</f>
        <v>#REF!</v>
      </c>
      <c r="M83" t="e">
        <f>IF(#REF!="","",#REF!)</f>
        <v>#REF!</v>
      </c>
      <c r="N83" t="e">
        <f>IF(#REF!="","",#REF!)</f>
        <v>#REF!</v>
      </c>
      <c r="O83" t="e">
        <f>IF(#REF!="","",#REF!)</f>
        <v>#REF!</v>
      </c>
      <c r="P83" t="e">
        <f>IF(#REF!="","",#REF!)</f>
        <v>#REF!</v>
      </c>
      <c r="Q83" t="e">
        <f>IF(#REF!="","",#REF!)</f>
        <v>#REF!</v>
      </c>
      <c r="R83" t="e">
        <f>IF(#REF!="","",#REF!)</f>
        <v>#REF!</v>
      </c>
    </row>
    <row r="84" spans="2:22" x14ac:dyDescent="0.2">
      <c r="C84" t="e">
        <f>#REF!</f>
        <v>#REF!</v>
      </c>
      <c r="M84" t="e">
        <f>IF(#REF!="","",#REF!)</f>
        <v>#REF!</v>
      </c>
      <c r="N84" t="e">
        <f>IF(#REF!="","",#REF!)</f>
        <v>#REF!</v>
      </c>
      <c r="O84" t="e">
        <f>IF(#REF!="","",#REF!)</f>
        <v>#REF!</v>
      </c>
      <c r="P84" t="e">
        <f>IF(#REF!="","",#REF!)</f>
        <v>#REF!</v>
      </c>
      <c r="Q84" t="e">
        <f>IF(#REF!="","",#REF!)</f>
        <v>#REF!</v>
      </c>
      <c r="R84" t="e">
        <f>IF(#REF!="","",#REF!)</f>
        <v>#REF!</v>
      </c>
    </row>
    <row r="85" spans="2:22" x14ac:dyDescent="0.2">
      <c r="M85" t="e">
        <f>IF(#REF!="","",#REF!)</f>
        <v>#REF!</v>
      </c>
      <c r="N85" t="e">
        <f>IF(#REF!="","",#REF!)</f>
        <v>#REF!</v>
      </c>
      <c r="O85" t="e">
        <f>IF(#REF!="","",#REF!)</f>
        <v>#REF!</v>
      </c>
      <c r="P85" t="e">
        <f>IF(#REF!="","",#REF!)</f>
        <v>#REF!</v>
      </c>
      <c r="Q85" t="e">
        <f>IF(#REF!="","",#REF!)</f>
        <v>#REF!</v>
      </c>
      <c r="R85" t="e">
        <f>IF(#REF!="","",#REF!)</f>
        <v>#REF!</v>
      </c>
    </row>
    <row r="86" spans="2:22" x14ac:dyDescent="0.2">
      <c r="C86" t="e">
        <f>#REF!</f>
        <v>#REF!</v>
      </c>
      <c r="M86" t="e">
        <f>IF(#REF!="","",#REF!)</f>
        <v>#REF!</v>
      </c>
      <c r="N86" t="e">
        <f>IF(#REF!="","",#REF!)</f>
        <v>#REF!</v>
      </c>
      <c r="O86" t="e">
        <f>IF(#REF!="","",#REF!)</f>
        <v>#REF!</v>
      </c>
      <c r="P86" t="e">
        <f>IF(#REF!="","",#REF!)</f>
        <v>#REF!</v>
      </c>
      <c r="Q86" t="e">
        <f>IF(#REF!="","",#REF!)</f>
        <v>#REF!</v>
      </c>
      <c r="R86" t="e">
        <f>IF(#REF!="","",#REF!)</f>
        <v>#REF!</v>
      </c>
    </row>
    <row r="87" spans="2:22" x14ac:dyDescent="0.2">
      <c r="C87" t="e">
        <f>#REF!</f>
        <v>#REF!</v>
      </c>
      <c r="M87" t="e">
        <f>IF(#REF!="","",#REF!)</f>
        <v>#REF!</v>
      </c>
      <c r="N87" t="e">
        <f>IF(#REF!="","",#REF!)</f>
        <v>#REF!</v>
      </c>
      <c r="O87" t="e">
        <f>IF(#REF!="","",#REF!)</f>
        <v>#REF!</v>
      </c>
      <c r="P87" t="e">
        <f>IF(#REF!="","",#REF!)</f>
        <v>#REF!</v>
      </c>
      <c r="Q87" t="e">
        <f>IF(#REF!="","",#REF!)</f>
        <v>#REF!</v>
      </c>
      <c r="R87" t="e">
        <f>IF(#REF!="","",#REF!)</f>
        <v>#REF!</v>
      </c>
    </row>
    <row r="88" spans="2:22" x14ac:dyDescent="0.2">
      <c r="C88" t="e">
        <f>#REF!</f>
        <v>#REF!</v>
      </c>
      <c r="M88" t="e">
        <f>IF(#REF!="","",#REF!)</f>
        <v>#REF!</v>
      </c>
      <c r="N88" t="e">
        <f>IF(#REF!="","",#REF!)</f>
        <v>#REF!</v>
      </c>
      <c r="O88" t="e">
        <f>IF(#REF!="","",#REF!)</f>
        <v>#REF!</v>
      </c>
      <c r="P88" t="e">
        <f>IF(#REF!="","",#REF!)</f>
        <v>#REF!</v>
      </c>
      <c r="Q88" t="e">
        <f>IF(#REF!="","",#REF!)</f>
        <v>#REF!</v>
      </c>
      <c r="R88" t="e">
        <f>IF(#REF!="","",#REF!)</f>
        <v>#REF!</v>
      </c>
    </row>
    <row r="90" spans="2:22" x14ac:dyDescent="0.2">
      <c r="B90" s="330"/>
      <c r="C90" s="330" t="s">
        <v>2354</v>
      </c>
      <c r="D90" s="330"/>
      <c r="E90" s="330"/>
      <c r="F90" s="330"/>
      <c r="G90" s="330"/>
      <c r="H90" s="330"/>
      <c r="I90" s="330"/>
      <c r="J90" s="330"/>
      <c r="K90" s="330"/>
      <c r="L90" s="330"/>
      <c r="M90" s="330"/>
      <c r="N90" s="330"/>
      <c r="O90" s="330"/>
      <c r="P90" s="330"/>
      <c r="Q90" s="330"/>
      <c r="R90" s="330"/>
    </row>
    <row r="91" spans="2:22" x14ac:dyDescent="0.2">
      <c r="B91" s="330"/>
      <c r="C91" s="330"/>
      <c r="D91" s="330">
        <v>2014</v>
      </c>
      <c r="E91" s="330">
        <v>2015</v>
      </c>
      <c r="F91" s="330">
        <v>2016</v>
      </c>
      <c r="G91" s="330">
        <v>2017</v>
      </c>
      <c r="H91" s="330">
        <v>2018</v>
      </c>
      <c r="I91" s="330">
        <v>2019</v>
      </c>
      <c r="J91" s="330">
        <v>2020</v>
      </c>
      <c r="K91" s="330">
        <v>2021</v>
      </c>
      <c r="L91" s="330">
        <v>2022</v>
      </c>
      <c r="M91" s="330">
        <v>2023</v>
      </c>
      <c r="N91" s="330">
        <v>2024</v>
      </c>
      <c r="O91" s="330">
        <v>2025</v>
      </c>
      <c r="P91" s="330">
        <v>2026</v>
      </c>
      <c r="Q91" s="330">
        <v>2027</v>
      </c>
      <c r="R91" s="330">
        <v>2028</v>
      </c>
      <c r="S91" s="330">
        <v>2029</v>
      </c>
      <c r="T91" s="330">
        <v>2030</v>
      </c>
      <c r="U91" s="330">
        <v>2031</v>
      </c>
      <c r="V91" s="330">
        <v>2032</v>
      </c>
    </row>
    <row r="92" spans="2:22" x14ac:dyDescent="0.2">
      <c r="B92" s="330"/>
      <c r="C92" s="330" t="e">
        <f>#REF!</f>
        <v>#REF!</v>
      </c>
      <c r="D92" s="330"/>
      <c r="E92" s="330"/>
      <c r="F92" s="330"/>
      <c r="G92" s="330"/>
      <c r="H92" s="330"/>
      <c r="I92" s="330"/>
      <c r="J92" s="330"/>
      <c r="K92" s="330"/>
      <c r="L92" s="330" t="e">
        <f>IF(#REF!="","",#REF!)</f>
        <v>#REF!</v>
      </c>
      <c r="M92" s="330" t="e">
        <f>IF(#REF!="","",#REF!)</f>
        <v>#REF!</v>
      </c>
      <c r="N92" s="330" t="e">
        <f>IF(#REF!="","",#REF!)</f>
        <v>#REF!</v>
      </c>
      <c r="O92" s="330" t="e">
        <f>IF(#REF!="","",#REF!)</f>
        <v>#REF!</v>
      </c>
      <c r="P92" s="330" t="e">
        <f>IF(#REF!="","",#REF!)</f>
        <v>#REF!</v>
      </c>
      <c r="Q92" s="330" t="e">
        <f>IF(#REF!="","",#REF!)</f>
        <v>#REF!</v>
      </c>
      <c r="R92" s="330" t="e">
        <f>IF(#REF!="","",#REF!)</f>
        <v>#REF!</v>
      </c>
      <c r="S92" s="330" t="e">
        <f>IF(#REF!="","",#REF!)</f>
        <v>#REF!</v>
      </c>
      <c r="T92" s="330" t="e">
        <f>IF(#REF!="","",#REF!)</f>
        <v>#REF!</v>
      </c>
      <c r="U92" s="330" t="e">
        <f>IF(#REF!="","",#REF!)</f>
        <v>#REF!</v>
      </c>
      <c r="V92" s="330" t="e">
        <f>IF(#REF!="","",#REF!)</f>
        <v>#REF!</v>
      </c>
    </row>
    <row r="93" spans="2:22" x14ac:dyDescent="0.2">
      <c r="B93" s="330"/>
      <c r="C93" s="330" t="e">
        <f>#REF!</f>
        <v>#REF!</v>
      </c>
      <c r="D93" s="330"/>
      <c r="E93" s="330"/>
      <c r="F93" s="330"/>
      <c r="G93" s="330"/>
      <c r="H93" s="330"/>
      <c r="I93" s="330"/>
      <c r="J93" s="330"/>
      <c r="K93" s="330"/>
      <c r="L93" s="330" t="e">
        <f>IF(#REF!="","",#REF!)</f>
        <v>#REF!</v>
      </c>
      <c r="M93" s="330" t="e">
        <f>IF(#REF!="","",#REF!)</f>
        <v>#REF!</v>
      </c>
      <c r="N93" s="330" t="e">
        <f>IF(#REF!="","",#REF!)</f>
        <v>#REF!</v>
      </c>
      <c r="O93" s="330" t="e">
        <f>IF(#REF!="","",#REF!)</f>
        <v>#REF!</v>
      </c>
      <c r="P93" s="330" t="e">
        <f>IF(#REF!="","",#REF!)</f>
        <v>#REF!</v>
      </c>
      <c r="Q93" s="330" t="e">
        <f>IF(#REF!="","",#REF!)</f>
        <v>#REF!</v>
      </c>
      <c r="R93" s="330" t="e">
        <f>IF(#REF!="","",#REF!)</f>
        <v>#REF!</v>
      </c>
      <c r="S93" s="330" t="e">
        <f>IF(#REF!="","",#REF!)</f>
        <v>#REF!</v>
      </c>
      <c r="T93" s="330" t="e">
        <f>IF(#REF!="","",#REF!)</f>
        <v>#REF!</v>
      </c>
      <c r="U93" s="330" t="e">
        <f>IF(#REF!="","",#REF!)</f>
        <v>#REF!</v>
      </c>
      <c r="V93" s="330" t="e">
        <f>IF(#REF!="","",#REF!)</f>
        <v>#REF!</v>
      </c>
    </row>
    <row r="94" spans="2:22" x14ac:dyDescent="0.2">
      <c r="B94" s="330"/>
      <c r="C94" s="330" t="e">
        <f>#REF!</f>
        <v>#REF!</v>
      </c>
      <c r="D94" s="330"/>
      <c r="E94" s="330"/>
      <c r="F94" s="330"/>
      <c r="G94" s="330"/>
      <c r="H94" s="330"/>
      <c r="I94" s="330"/>
      <c r="J94" s="330"/>
      <c r="K94" s="330"/>
      <c r="L94" s="330" t="e">
        <f>IF(#REF!="","",#REF!)</f>
        <v>#REF!</v>
      </c>
      <c r="M94" s="330" t="e">
        <f>IF(#REF!="","",#REF!)</f>
        <v>#REF!</v>
      </c>
      <c r="N94" s="330" t="e">
        <f>IF(#REF!="","",#REF!)</f>
        <v>#REF!</v>
      </c>
      <c r="O94" s="330" t="e">
        <f>IF(#REF!="","",#REF!)</f>
        <v>#REF!</v>
      </c>
      <c r="P94" s="330" t="e">
        <f>IF(#REF!="","",#REF!)</f>
        <v>#REF!</v>
      </c>
      <c r="Q94" s="330" t="e">
        <f>IF(#REF!="","",#REF!)</f>
        <v>#REF!</v>
      </c>
      <c r="R94" s="330" t="e">
        <f>IF(#REF!="","",#REF!)</f>
        <v>#REF!</v>
      </c>
      <c r="S94" s="330" t="e">
        <f>IF(#REF!="","",#REF!)</f>
        <v>#REF!</v>
      </c>
      <c r="T94" s="330" t="e">
        <f>IF(#REF!="","",#REF!)</f>
        <v>#REF!</v>
      </c>
      <c r="U94" s="330" t="e">
        <f>IF(#REF!="","",#REF!)</f>
        <v>#REF!</v>
      </c>
      <c r="V94" s="330" t="e">
        <f>IF(#REF!="","",#REF!)</f>
        <v>#REF!</v>
      </c>
    </row>
    <row r="95" spans="2:22" x14ac:dyDescent="0.2">
      <c r="B95" s="330"/>
      <c r="C95" s="330" t="e">
        <f>#REF!</f>
        <v>#REF!</v>
      </c>
      <c r="D95" s="330"/>
      <c r="E95" s="330"/>
      <c r="F95" s="330"/>
      <c r="G95" s="330"/>
      <c r="H95" s="330"/>
      <c r="I95" s="330"/>
      <c r="J95" s="330"/>
      <c r="K95" s="330"/>
      <c r="L95" s="330" t="e">
        <f>IF(#REF!="","",#REF!)</f>
        <v>#REF!</v>
      </c>
      <c r="M95" s="330" t="e">
        <f>IF(#REF!="","",#REF!)</f>
        <v>#REF!</v>
      </c>
      <c r="N95" s="330" t="e">
        <f>IF(#REF!="","",#REF!)</f>
        <v>#REF!</v>
      </c>
      <c r="O95" s="330" t="e">
        <f>IF(#REF!="","",#REF!)</f>
        <v>#REF!</v>
      </c>
      <c r="P95" s="330" t="e">
        <f>IF(#REF!="","",#REF!)</f>
        <v>#REF!</v>
      </c>
      <c r="Q95" s="330" t="e">
        <f>IF(#REF!="","",#REF!)</f>
        <v>#REF!</v>
      </c>
      <c r="R95" s="330" t="e">
        <f>IF(#REF!="","",#REF!)</f>
        <v>#REF!</v>
      </c>
      <c r="S95" s="330" t="e">
        <f>IF(#REF!="","",#REF!)</f>
        <v>#REF!</v>
      </c>
      <c r="T95" s="330" t="e">
        <f>IF(#REF!="","",#REF!)</f>
        <v>#REF!</v>
      </c>
      <c r="U95" s="330" t="e">
        <f>IF(#REF!="","",#REF!)</f>
        <v>#REF!</v>
      </c>
      <c r="V95" s="330" t="e">
        <f>IF(#REF!="","",#REF!)</f>
        <v>#REF!</v>
      </c>
    </row>
    <row r="96" spans="2:22" x14ac:dyDescent="0.2">
      <c r="B96" s="330"/>
      <c r="C96" s="330" t="e">
        <f>#REF!</f>
        <v>#REF!</v>
      </c>
      <c r="D96" s="330"/>
      <c r="E96" s="330"/>
      <c r="F96" s="330"/>
      <c r="G96" s="330"/>
      <c r="H96" s="330"/>
      <c r="I96" s="330"/>
      <c r="J96" s="330"/>
      <c r="K96" s="330"/>
      <c r="L96" s="330" t="e">
        <f>IF(#REF!="","",#REF!)</f>
        <v>#REF!</v>
      </c>
      <c r="M96" s="330" t="e">
        <f>IF(#REF!="","",#REF!)</f>
        <v>#REF!</v>
      </c>
      <c r="N96" s="330" t="e">
        <f>IF(#REF!="","",#REF!)</f>
        <v>#REF!</v>
      </c>
      <c r="O96" s="330" t="e">
        <f>IF(#REF!="","",#REF!)</f>
        <v>#REF!</v>
      </c>
      <c r="P96" s="330" t="e">
        <f>IF(#REF!="","",#REF!)</f>
        <v>#REF!</v>
      </c>
      <c r="Q96" s="330" t="e">
        <f>IF(#REF!="","",#REF!)</f>
        <v>#REF!</v>
      </c>
      <c r="R96" s="330" t="e">
        <f>IF(#REF!="","",#REF!)</f>
        <v>#REF!</v>
      </c>
      <c r="S96" s="330" t="e">
        <f>IF(#REF!="","",#REF!)</f>
        <v>#REF!</v>
      </c>
      <c r="T96" s="330" t="e">
        <f>IF(#REF!="","",#REF!)</f>
        <v>#REF!</v>
      </c>
      <c r="U96" s="330" t="e">
        <f>IF(#REF!="","",#REF!)</f>
        <v>#REF!</v>
      </c>
      <c r="V96" s="330" t="e">
        <f>IF(#REF!="","",#REF!)</f>
        <v>#REF!</v>
      </c>
    </row>
    <row r="97" spans="2:22" x14ac:dyDescent="0.2">
      <c r="B97" s="330"/>
      <c r="C97" s="330" t="e">
        <f>#REF!</f>
        <v>#REF!</v>
      </c>
      <c r="D97" s="330"/>
      <c r="E97" s="330"/>
      <c r="F97" s="330"/>
      <c r="G97" s="330"/>
      <c r="H97" s="330"/>
      <c r="I97" s="330"/>
      <c r="J97" s="330"/>
      <c r="K97" s="330"/>
      <c r="L97" s="330" t="e">
        <f>IF(#REF!="","",#REF!)</f>
        <v>#REF!</v>
      </c>
      <c r="M97" s="330" t="e">
        <f>IF(#REF!="","",#REF!)</f>
        <v>#REF!</v>
      </c>
      <c r="N97" s="330" t="e">
        <f>IF(#REF!="","",#REF!)</f>
        <v>#REF!</v>
      </c>
      <c r="O97" s="330" t="e">
        <f>IF(#REF!="","",#REF!)</f>
        <v>#REF!</v>
      </c>
      <c r="P97" s="330" t="e">
        <f>IF(#REF!="","",#REF!)</f>
        <v>#REF!</v>
      </c>
      <c r="Q97" s="330" t="e">
        <f>IF(#REF!="","",#REF!)</f>
        <v>#REF!</v>
      </c>
      <c r="R97" s="330" t="e">
        <f>IF(#REF!="","",#REF!)</f>
        <v>#REF!</v>
      </c>
      <c r="S97" s="330" t="e">
        <f>IF(#REF!="","",#REF!)</f>
        <v>#REF!</v>
      </c>
      <c r="T97" s="330" t="e">
        <f>IF(#REF!="","",#REF!)</f>
        <v>#REF!</v>
      </c>
      <c r="U97" s="330" t="e">
        <f>IF(#REF!="","",#REF!)</f>
        <v>#REF!</v>
      </c>
      <c r="V97" s="330" t="e">
        <f>IF(#REF!="","",#REF!)</f>
        <v>#REF!</v>
      </c>
    </row>
    <row r="98" spans="2:22" x14ac:dyDescent="0.2">
      <c r="B98" s="330"/>
      <c r="C98" s="330" t="e">
        <f>#REF!</f>
        <v>#REF!</v>
      </c>
      <c r="D98" s="330"/>
      <c r="E98" s="330"/>
      <c r="F98" s="330"/>
      <c r="G98" s="330"/>
      <c r="H98" s="330"/>
      <c r="I98" s="330"/>
      <c r="J98" s="330"/>
      <c r="K98" s="330"/>
      <c r="L98" s="330" t="e">
        <f>IF(#REF!="","",#REF!)</f>
        <v>#REF!</v>
      </c>
      <c r="M98" s="330" t="e">
        <f>IF(#REF!="","",#REF!)</f>
        <v>#REF!</v>
      </c>
      <c r="N98" s="330" t="e">
        <f>IF(#REF!="","",#REF!)</f>
        <v>#REF!</v>
      </c>
      <c r="O98" s="330" t="e">
        <f>IF(#REF!="","",#REF!)</f>
        <v>#REF!</v>
      </c>
      <c r="P98" s="330" t="e">
        <f>IF(#REF!="","",#REF!)</f>
        <v>#REF!</v>
      </c>
      <c r="Q98" s="330" t="e">
        <f>IF(#REF!="","",#REF!)</f>
        <v>#REF!</v>
      </c>
      <c r="R98" s="330" t="e">
        <f>IF(#REF!="","",#REF!)</f>
        <v>#REF!</v>
      </c>
      <c r="S98" s="330" t="e">
        <f>IF(#REF!="","",#REF!)</f>
        <v>#REF!</v>
      </c>
      <c r="T98" s="330" t="e">
        <f>IF(#REF!="","",#REF!)</f>
        <v>#REF!</v>
      </c>
      <c r="U98" s="330" t="e">
        <f>IF(#REF!="","",#REF!)</f>
        <v>#REF!</v>
      </c>
      <c r="V98" s="330" t="e">
        <f>IF(#REF!="","",#REF!)</f>
        <v>#REF!</v>
      </c>
    </row>
    <row r="99" spans="2:22" x14ac:dyDescent="0.2">
      <c r="B99" s="330"/>
      <c r="C99" s="330" t="e">
        <f>#REF!</f>
        <v>#REF!</v>
      </c>
      <c r="D99" s="330"/>
      <c r="E99" s="330"/>
      <c r="F99" s="330"/>
      <c r="G99" s="330"/>
      <c r="H99" s="330"/>
      <c r="I99" s="330"/>
      <c r="J99" s="330"/>
      <c r="K99" s="330"/>
      <c r="L99" s="330" t="e">
        <f>IF(#REF!="","",#REF!)</f>
        <v>#REF!</v>
      </c>
      <c r="M99" s="330" t="e">
        <f>IF(#REF!="","",#REF!)</f>
        <v>#REF!</v>
      </c>
      <c r="N99" s="330" t="e">
        <f>IF(#REF!="","",#REF!)</f>
        <v>#REF!</v>
      </c>
      <c r="O99" s="330" t="e">
        <f>IF(#REF!="","",#REF!)</f>
        <v>#REF!</v>
      </c>
      <c r="P99" s="330" t="e">
        <f>IF(#REF!="","",#REF!)</f>
        <v>#REF!</v>
      </c>
      <c r="Q99" s="330" t="e">
        <f>IF(#REF!="","",#REF!)</f>
        <v>#REF!</v>
      </c>
      <c r="R99" s="330" t="e">
        <f>IF(#REF!="","",#REF!)</f>
        <v>#REF!</v>
      </c>
      <c r="S99" s="330" t="e">
        <f>IF(#REF!="","",#REF!)</f>
        <v>#REF!</v>
      </c>
      <c r="T99" s="330" t="e">
        <f>IF(#REF!="","",#REF!)</f>
        <v>#REF!</v>
      </c>
      <c r="U99" s="330" t="e">
        <f>IF(#REF!="","",#REF!)</f>
        <v>#REF!</v>
      </c>
      <c r="V99" s="330" t="e">
        <f>IF(#REF!="","",#REF!)</f>
        <v>#REF!</v>
      </c>
    </row>
    <row r="100" spans="2:22" x14ac:dyDescent="0.2">
      <c r="B100" s="330"/>
      <c r="C100" s="330" t="e">
        <f>#REF!</f>
        <v>#REF!</v>
      </c>
      <c r="D100" s="330"/>
      <c r="E100" s="330"/>
      <c r="F100" s="330"/>
      <c r="G100" s="330"/>
      <c r="H100" s="330"/>
      <c r="I100" s="330"/>
      <c r="J100" s="330"/>
      <c r="K100" s="330"/>
      <c r="L100" s="330" t="e">
        <f>IF(#REF!="","",#REF!)</f>
        <v>#REF!</v>
      </c>
      <c r="M100" s="330" t="e">
        <f>IF(#REF!="","",#REF!)</f>
        <v>#REF!</v>
      </c>
      <c r="N100" s="330" t="e">
        <f>IF(#REF!="","",#REF!)</f>
        <v>#REF!</v>
      </c>
      <c r="O100" s="330" t="e">
        <f>IF(#REF!="","",#REF!)</f>
        <v>#REF!</v>
      </c>
      <c r="P100" s="330" t="e">
        <f>IF(#REF!="","",#REF!)</f>
        <v>#REF!</v>
      </c>
      <c r="Q100" s="330" t="e">
        <f>IF(#REF!="","",#REF!)</f>
        <v>#REF!</v>
      </c>
      <c r="R100" s="330" t="e">
        <f>IF(#REF!="","",#REF!)</f>
        <v>#REF!</v>
      </c>
      <c r="S100" s="330" t="e">
        <f>IF(#REF!="","",#REF!)</f>
        <v>#REF!</v>
      </c>
      <c r="T100" s="330" t="e">
        <f>IF(#REF!="","",#REF!)</f>
        <v>#REF!</v>
      </c>
      <c r="U100" s="330" t="e">
        <f>IF(#REF!="","",#REF!)</f>
        <v>#REF!</v>
      </c>
      <c r="V100" s="330" t="e">
        <f>IF(#REF!="","",#REF!)</f>
        <v>#REF!</v>
      </c>
    </row>
    <row r="101" spans="2:22" x14ac:dyDescent="0.2">
      <c r="B101" s="330"/>
      <c r="C101" s="330" t="e">
        <f>#REF!</f>
        <v>#REF!</v>
      </c>
      <c r="D101" s="330"/>
      <c r="E101" s="330"/>
      <c r="F101" s="330"/>
      <c r="G101" s="330"/>
      <c r="H101" s="330"/>
      <c r="I101" s="330"/>
      <c r="J101" s="330"/>
      <c r="K101" s="330"/>
      <c r="L101" s="330" t="e">
        <f>IF(#REF!="","",#REF!)</f>
        <v>#REF!</v>
      </c>
      <c r="M101" s="330" t="e">
        <f>IF(#REF!="","",#REF!)</f>
        <v>#REF!</v>
      </c>
      <c r="N101" s="330" t="e">
        <f>IF(#REF!="","",#REF!)</f>
        <v>#REF!</v>
      </c>
      <c r="O101" s="330" t="e">
        <f>IF(#REF!="","",#REF!)</f>
        <v>#REF!</v>
      </c>
      <c r="P101" s="330" t="e">
        <f>IF(#REF!="","",#REF!)</f>
        <v>#REF!</v>
      </c>
      <c r="Q101" s="330" t="e">
        <f>IF(#REF!="","",#REF!)</f>
        <v>#REF!</v>
      </c>
      <c r="R101" s="330" t="e">
        <f>IF(#REF!="","",#REF!)</f>
        <v>#REF!</v>
      </c>
      <c r="S101" s="330" t="e">
        <f>IF(#REF!="","",#REF!)</f>
        <v>#REF!</v>
      </c>
      <c r="T101" s="330" t="e">
        <f>IF(#REF!="","",#REF!)</f>
        <v>#REF!</v>
      </c>
      <c r="U101" s="330" t="e">
        <f>IF(#REF!="","",#REF!)</f>
        <v>#REF!</v>
      </c>
      <c r="V101" s="330" t="e">
        <f>IF(#REF!="","",#REF!)</f>
        <v>#REF!</v>
      </c>
    </row>
    <row r="102" spans="2:22" x14ac:dyDescent="0.2">
      <c r="B102" s="330"/>
      <c r="C102" s="330"/>
      <c r="D102" s="330"/>
      <c r="E102" s="330"/>
      <c r="F102" s="330"/>
      <c r="G102" s="330"/>
      <c r="H102" s="330"/>
      <c r="I102" s="330"/>
      <c r="J102" s="330"/>
      <c r="K102" s="330"/>
      <c r="L102" s="330" t="e">
        <f>IF(#REF!="","",#REF!)</f>
        <v>#REF!</v>
      </c>
      <c r="M102" s="330" t="e">
        <f>IF(#REF!="","",#REF!)</f>
        <v>#REF!</v>
      </c>
      <c r="N102" s="330" t="e">
        <f>IF(#REF!="","",#REF!)</f>
        <v>#REF!</v>
      </c>
      <c r="O102" s="330" t="e">
        <f>IF(#REF!="","",#REF!)</f>
        <v>#REF!</v>
      </c>
      <c r="P102" s="330" t="e">
        <f>IF(#REF!="","",#REF!)</f>
        <v>#REF!</v>
      </c>
      <c r="Q102" s="330" t="e">
        <f>IF(#REF!="","",#REF!)</f>
        <v>#REF!</v>
      </c>
      <c r="R102" s="330" t="e">
        <f>IF(#REF!="","",#REF!)</f>
        <v>#REF!</v>
      </c>
      <c r="S102" s="330" t="e">
        <f>IF(#REF!="","",#REF!)</f>
        <v>#REF!</v>
      </c>
      <c r="T102" s="330" t="e">
        <f>IF(#REF!="","",#REF!)</f>
        <v>#REF!</v>
      </c>
      <c r="U102" s="330" t="e">
        <f>IF(#REF!="","",#REF!)</f>
        <v>#REF!</v>
      </c>
      <c r="V102" s="330" t="e">
        <f>IF(#REF!="","",#REF!)</f>
        <v>#REF!</v>
      </c>
    </row>
    <row r="103" spans="2:22" x14ac:dyDescent="0.2">
      <c r="B103" s="330"/>
      <c r="C103" s="330" t="e">
        <f>#REF!</f>
        <v>#REF!</v>
      </c>
      <c r="D103" s="330"/>
      <c r="E103" s="330"/>
      <c r="F103" s="330"/>
      <c r="G103" s="330"/>
      <c r="H103" s="330"/>
      <c r="I103" s="330"/>
      <c r="J103" s="330"/>
      <c r="K103" s="330"/>
      <c r="L103" s="330" t="e">
        <f>IF(#REF!="","",#REF!)</f>
        <v>#REF!</v>
      </c>
      <c r="M103" s="330" t="e">
        <f>IF(#REF!="","",#REF!)</f>
        <v>#REF!</v>
      </c>
      <c r="N103" s="330" t="e">
        <f>IF(#REF!="","",#REF!)</f>
        <v>#REF!</v>
      </c>
      <c r="O103" s="330" t="e">
        <f>IF(#REF!="","",#REF!)</f>
        <v>#REF!</v>
      </c>
      <c r="P103" s="330" t="e">
        <f>IF(#REF!="","",#REF!)</f>
        <v>#REF!</v>
      </c>
      <c r="Q103" s="330" t="e">
        <f>IF(#REF!="","",#REF!)</f>
        <v>#REF!</v>
      </c>
      <c r="R103" s="330" t="e">
        <f>IF(#REF!="","",#REF!)</f>
        <v>#REF!</v>
      </c>
      <c r="S103" s="330" t="e">
        <f>IF(#REF!="","",#REF!)</f>
        <v>#REF!</v>
      </c>
      <c r="T103" s="330" t="e">
        <f>IF(#REF!="","",#REF!)</f>
        <v>#REF!</v>
      </c>
      <c r="U103" s="330" t="e">
        <f>IF(#REF!="","",#REF!)</f>
        <v>#REF!</v>
      </c>
      <c r="V103" s="330" t="e">
        <f>IF(#REF!="","",#REF!)</f>
        <v>#REF!</v>
      </c>
    </row>
    <row r="104" spans="2:22" x14ac:dyDescent="0.2">
      <c r="B104" s="330"/>
      <c r="C104" s="330" t="e">
        <f>#REF!</f>
        <v>#REF!</v>
      </c>
      <c r="D104" s="330"/>
      <c r="E104" s="330"/>
      <c r="F104" s="330"/>
      <c r="G104" s="330"/>
      <c r="H104" s="330"/>
      <c r="I104" s="330"/>
      <c r="J104" s="330"/>
      <c r="K104" s="330"/>
      <c r="L104" s="330" t="e">
        <f>IF(#REF!="","",#REF!)</f>
        <v>#REF!</v>
      </c>
      <c r="M104" s="330" t="e">
        <f>IF(#REF!="","",#REF!)</f>
        <v>#REF!</v>
      </c>
      <c r="N104" s="330" t="e">
        <f>IF(#REF!="","",#REF!)</f>
        <v>#REF!</v>
      </c>
      <c r="O104" s="330" t="e">
        <f>IF(#REF!="","",#REF!)</f>
        <v>#REF!</v>
      </c>
      <c r="P104" s="330" t="e">
        <f>IF(#REF!="","",#REF!)</f>
        <v>#REF!</v>
      </c>
      <c r="Q104" s="330" t="e">
        <f>IF(#REF!="","",#REF!)</f>
        <v>#REF!</v>
      </c>
      <c r="R104" s="330" t="e">
        <f>IF(#REF!="","",#REF!)</f>
        <v>#REF!</v>
      </c>
      <c r="S104" s="330" t="e">
        <f>IF(#REF!="","",#REF!)</f>
        <v>#REF!</v>
      </c>
      <c r="T104" s="330" t="e">
        <f>IF(#REF!="","",#REF!)</f>
        <v>#REF!</v>
      </c>
      <c r="U104" s="330" t="e">
        <f>IF(#REF!="","",#REF!)</f>
        <v>#REF!</v>
      </c>
      <c r="V104" s="330" t="e">
        <f>IF(#REF!="","",#REF!)</f>
        <v>#REF!</v>
      </c>
    </row>
    <row r="105" spans="2:22" x14ac:dyDescent="0.2">
      <c r="B105" s="330"/>
      <c r="C105" s="330" t="e">
        <f>#REF!</f>
        <v>#REF!</v>
      </c>
      <c r="D105" s="330"/>
      <c r="E105" s="330"/>
      <c r="F105" s="330"/>
      <c r="G105" s="330"/>
      <c r="H105" s="330"/>
      <c r="I105" s="330"/>
      <c r="J105" s="330"/>
      <c r="K105" s="330"/>
      <c r="L105" s="330" t="e">
        <f>IF(#REF!="","",#REF!)</f>
        <v>#REF!</v>
      </c>
      <c r="M105" s="330" t="e">
        <f>IF(#REF!="","",#REF!)</f>
        <v>#REF!</v>
      </c>
      <c r="N105" s="330" t="e">
        <f>IF(#REF!="","",#REF!)</f>
        <v>#REF!</v>
      </c>
      <c r="O105" s="330" t="e">
        <f>IF(#REF!="","",#REF!)</f>
        <v>#REF!</v>
      </c>
      <c r="P105" s="330" t="e">
        <f>IF(#REF!="","",#REF!)</f>
        <v>#REF!</v>
      </c>
      <c r="Q105" s="330" t="e">
        <f>IF(#REF!="","",#REF!)</f>
        <v>#REF!</v>
      </c>
      <c r="R105" s="330" t="e">
        <f>IF(#REF!="","",#REF!)</f>
        <v>#REF!</v>
      </c>
      <c r="S105" s="330" t="e">
        <f>IF(#REF!="","",#REF!)</f>
        <v>#REF!</v>
      </c>
      <c r="T105" s="330" t="e">
        <f>IF(#REF!="","",#REF!)</f>
        <v>#REF!</v>
      </c>
      <c r="U105" s="330" t="e">
        <f>IF(#REF!="","",#REF!)</f>
        <v>#REF!</v>
      </c>
      <c r="V105" s="330" t="e">
        <f>IF(#REF!="","",#REF!)</f>
        <v>#REF!</v>
      </c>
    </row>
    <row r="106" spans="2:22" x14ac:dyDescent="0.2">
      <c r="B106" s="330"/>
      <c r="C106" s="330"/>
      <c r="D106" s="330"/>
      <c r="E106" s="330"/>
      <c r="F106" s="330"/>
      <c r="G106" s="330"/>
      <c r="H106" s="330"/>
      <c r="I106" s="330"/>
      <c r="J106" s="330"/>
      <c r="K106" s="330"/>
      <c r="L106" s="330"/>
      <c r="M106" s="330"/>
      <c r="N106" s="330"/>
      <c r="O106" s="330"/>
      <c r="P106" s="330"/>
      <c r="Q106" s="330"/>
      <c r="R106" s="330"/>
    </row>
    <row r="107" spans="2:22" x14ac:dyDescent="0.2">
      <c r="B107" s="330"/>
      <c r="C107" s="330"/>
      <c r="D107" s="330"/>
      <c r="E107" s="330"/>
      <c r="F107" s="330"/>
      <c r="G107" s="330"/>
      <c r="H107" s="330"/>
      <c r="I107" s="330"/>
      <c r="J107" s="330"/>
      <c r="K107" s="330"/>
      <c r="L107" s="330"/>
      <c r="M107" s="330"/>
      <c r="N107" s="330"/>
      <c r="O107" s="330"/>
      <c r="P107" s="330"/>
      <c r="Q107" s="330"/>
      <c r="R107" s="330"/>
    </row>
    <row r="108" spans="2:22" x14ac:dyDescent="0.2">
      <c r="B108" s="330"/>
      <c r="C108" s="330"/>
      <c r="D108" s="330"/>
      <c r="E108" s="330"/>
      <c r="F108" s="330"/>
      <c r="G108" s="330"/>
      <c r="H108" s="330"/>
      <c r="I108" s="330"/>
      <c r="J108" s="330"/>
      <c r="K108" s="330"/>
      <c r="L108" s="330"/>
      <c r="M108" s="330"/>
      <c r="N108" s="330"/>
      <c r="O108" s="330"/>
      <c r="P108" s="330"/>
      <c r="Q108" s="330"/>
      <c r="R108" s="330"/>
    </row>
    <row r="109" spans="2:22" x14ac:dyDescent="0.2">
      <c r="B109" s="330"/>
      <c r="C109" s="330"/>
      <c r="D109" s="330"/>
      <c r="E109" s="330"/>
      <c r="F109" s="330"/>
      <c r="G109" s="330"/>
      <c r="H109" s="330"/>
      <c r="I109" s="330"/>
      <c r="J109" s="330"/>
      <c r="K109" s="330"/>
      <c r="L109" s="330"/>
      <c r="M109" s="330"/>
      <c r="N109" s="330"/>
      <c r="O109" s="330"/>
      <c r="P109" s="330"/>
      <c r="Q109" s="330"/>
      <c r="R109" s="330"/>
    </row>
    <row r="110" spans="2:22" x14ac:dyDescent="0.2">
      <c r="B110" s="330"/>
      <c r="C110" s="330"/>
      <c r="D110" s="330"/>
      <c r="E110" s="330"/>
      <c r="F110" s="330"/>
      <c r="G110" s="330"/>
      <c r="H110" s="330"/>
      <c r="I110" s="330"/>
      <c r="J110" s="330"/>
      <c r="K110" s="330"/>
      <c r="L110" s="330"/>
      <c r="M110" s="330"/>
      <c r="N110" s="330"/>
      <c r="O110" s="330"/>
      <c r="P110" s="330"/>
      <c r="Q110" s="330"/>
      <c r="R110" s="330"/>
    </row>
    <row r="111" spans="2:22" x14ac:dyDescent="0.2">
      <c r="B111" s="330"/>
      <c r="C111" s="330"/>
      <c r="D111" s="330"/>
      <c r="E111" s="330"/>
      <c r="F111" s="330"/>
      <c r="G111" s="330"/>
      <c r="H111" s="330"/>
      <c r="I111" s="330"/>
      <c r="J111" s="330"/>
      <c r="K111" s="330"/>
      <c r="L111" s="330"/>
      <c r="M111" s="330"/>
      <c r="N111" s="330"/>
      <c r="O111" s="330"/>
      <c r="P111" s="330"/>
      <c r="Q111" s="330"/>
      <c r="R111" s="330"/>
      <c r="S111" s="330"/>
    </row>
    <row r="112" spans="2:22" x14ac:dyDescent="0.2">
      <c r="B112" s="330"/>
      <c r="C112" s="330"/>
      <c r="D112" s="330"/>
      <c r="E112" s="330"/>
      <c r="F112" s="330"/>
      <c r="G112" s="330"/>
      <c r="H112" s="330"/>
      <c r="I112" s="330"/>
      <c r="J112" s="330"/>
      <c r="K112" s="330"/>
      <c r="L112" s="330"/>
      <c r="M112" s="330"/>
      <c r="N112" s="330"/>
      <c r="O112" s="330"/>
      <c r="P112" s="330"/>
      <c r="Q112" s="330"/>
      <c r="R112" s="330"/>
    </row>
    <row r="113" spans="2:18" x14ac:dyDescent="0.2">
      <c r="B113" s="330"/>
      <c r="C113" s="330"/>
      <c r="D113" s="330"/>
      <c r="E113" s="330"/>
      <c r="F113" s="330"/>
      <c r="G113" s="330"/>
      <c r="H113" s="330"/>
      <c r="I113" s="330"/>
      <c r="J113" s="330"/>
      <c r="K113" s="330"/>
      <c r="L113" s="330"/>
      <c r="M113" s="330"/>
      <c r="N113" s="330"/>
      <c r="O113" s="330"/>
      <c r="P113" s="330"/>
      <c r="Q113" s="330"/>
      <c r="R113" s="330"/>
    </row>
    <row r="114" spans="2:18" x14ac:dyDescent="0.2">
      <c r="B114" s="330"/>
      <c r="C114" s="330"/>
      <c r="D114" s="330"/>
      <c r="E114" s="330"/>
      <c r="F114" s="330"/>
      <c r="G114" s="330"/>
      <c r="H114" s="330"/>
      <c r="I114" s="330"/>
      <c r="J114" s="330"/>
      <c r="K114" s="330"/>
      <c r="L114" s="330"/>
      <c r="M114" s="330"/>
      <c r="N114" s="330"/>
      <c r="O114" s="330"/>
      <c r="P114" s="330"/>
      <c r="Q114" s="330"/>
      <c r="R114" s="330"/>
    </row>
    <row r="115" spans="2:18" x14ac:dyDescent="0.2">
      <c r="B115" s="330"/>
      <c r="C115" s="330"/>
      <c r="D115" s="330"/>
      <c r="E115" s="330"/>
      <c r="F115" s="330"/>
      <c r="G115" s="330"/>
      <c r="H115" s="330"/>
      <c r="I115" s="330"/>
      <c r="J115" s="330"/>
      <c r="K115" s="330"/>
      <c r="L115" s="330"/>
      <c r="M115" s="330"/>
      <c r="N115" s="330"/>
      <c r="O115" s="330"/>
      <c r="P115" s="330"/>
      <c r="Q115" s="330"/>
      <c r="R115" s="330"/>
    </row>
    <row r="116" spans="2:18" x14ac:dyDescent="0.2">
      <c r="B116" s="330"/>
      <c r="C116" s="330"/>
      <c r="D116" s="330"/>
      <c r="E116" s="330"/>
      <c r="F116" s="330"/>
      <c r="G116" s="330"/>
      <c r="H116" s="330"/>
      <c r="I116" s="330"/>
      <c r="J116" s="330"/>
      <c r="K116" s="330"/>
      <c r="L116" s="330"/>
      <c r="M116" s="330"/>
      <c r="N116" s="330"/>
      <c r="O116" s="330"/>
      <c r="P116" s="330"/>
      <c r="Q116" s="330"/>
      <c r="R116" s="330"/>
    </row>
    <row r="117" spans="2:18" x14ac:dyDescent="0.2">
      <c r="B117" s="330"/>
      <c r="C117" s="330"/>
      <c r="D117" s="330"/>
      <c r="E117" s="330"/>
      <c r="F117" s="330"/>
      <c r="G117" s="330"/>
      <c r="H117" s="330"/>
      <c r="I117" s="330"/>
      <c r="J117" s="330"/>
      <c r="K117" s="330"/>
      <c r="L117" s="330"/>
      <c r="M117" s="330"/>
      <c r="N117" s="330"/>
      <c r="O117" s="330"/>
      <c r="P117" s="330"/>
      <c r="Q117" s="330"/>
      <c r="R117" s="330"/>
    </row>
    <row r="118" spans="2:18" x14ac:dyDescent="0.2">
      <c r="B118" s="330"/>
      <c r="C118" s="330"/>
      <c r="D118" s="330"/>
      <c r="E118" s="330"/>
      <c r="F118" s="330"/>
      <c r="G118" s="330"/>
      <c r="H118" s="330"/>
      <c r="I118" s="330"/>
      <c r="J118" s="330"/>
      <c r="K118" s="330"/>
      <c r="L118" s="330"/>
      <c r="M118" s="330"/>
      <c r="N118" s="330"/>
      <c r="O118" s="330"/>
      <c r="P118" s="330"/>
      <c r="Q118" s="330"/>
      <c r="R118" s="330"/>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7A32A-5FCD-473A-B7EE-D6C610F14EA0}">
  <sheetPr codeName="Sheet18"/>
  <dimension ref="A2:W128"/>
  <sheetViews>
    <sheetView topLeftCell="D31" workbookViewId="0">
      <selection activeCell="R36" sqref="R36"/>
    </sheetView>
  </sheetViews>
  <sheetFormatPr defaultColWidth="12.42578125" defaultRowHeight="15.75" x14ac:dyDescent="0.25"/>
  <cols>
    <col min="1" max="1" width="12.42578125" style="68"/>
    <col min="2" max="2" width="27.42578125" style="68" customWidth="1"/>
    <col min="3" max="3" width="14.42578125" style="68" bestFit="1" customWidth="1"/>
    <col min="4" max="7" width="12.42578125" style="68"/>
    <col min="8" max="8" width="13.85546875" style="68" bestFit="1" customWidth="1"/>
    <col min="9" max="9" width="23.42578125" style="68" customWidth="1"/>
    <col min="10" max="10" width="13.28515625" style="68" bestFit="1" customWidth="1"/>
    <col min="11" max="11" width="16.42578125" style="68" bestFit="1" customWidth="1"/>
    <col min="12" max="15" width="12.7109375" style="68" bestFit="1" customWidth="1"/>
    <col min="16" max="17" width="12.42578125" style="68"/>
    <col min="18" max="18" width="20.85546875" style="68" customWidth="1"/>
    <col min="19" max="19" width="12.42578125" style="68"/>
    <col min="20" max="20" width="14.42578125" style="68" bestFit="1" customWidth="1"/>
    <col min="21" max="16384" width="12.42578125" style="68"/>
  </cols>
  <sheetData>
    <row r="2" spans="1:20" x14ac:dyDescent="0.25">
      <c r="B2" s="68" t="s">
        <v>488</v>
      </c>
      <c r="T2" s="69"/>
    </row>
    <row r="3" spans="1:20" x14ac:dyDescent="0.25">
      <c r="B3" s="68" t="s">
        <v>487</v>
      </c>
    </row>
    <row r="7" spans="1:20" x14ac:dyDescent="0.25">
      <c r="K7" s="68">
        <v>1</v>
      </c>
      <c r="L7" s="68">
        <v>3</v>
      </c>
      <c r="M7" s="68">
        <v>4</v>
      </c>
      <c r="N7" s="68">
        <v>5</v>
      </c>
      <c r="Q7" s="68">
        <v>2</v>
      </c>
      <c r="T7" s="73"/>
    </row>
    <row r="8" spans="1:20" x14ac:dyDescent="0.25">
      <c r="F8" s="68" t="s">
        <v>482</v>
      </c>
      <c r="G8" s="68" t="s">
        <v>481</v>
      </c>
      <c r="H8" s="68" t="s">
        <v>480</v>
      </c>
      <c r="I8" s="68" t="s">
        <v>479</v>
      </c>
      <c r="J8" s="68" t="s">
        <v>478</v>
      </c>
      <c r="K8" s="68" t="s">
        <v>402</v>
      </c>
      <c r="L8" s="68" t="s">
        <v>123</v>
      </c>
      <c r="M8" s="68" t="s">
        <v>137</v>
      </c>
      <c r="N8" s="68" t="s">
        <v>122</v>
      </c>
      <c r="O8" s="68" t="s">
        <v>114</v>
      </c>
      <c r="P8" s="68" t="s">
        <v>2184</v>
      </c>
      <c r="Q8" s="68" t="s">
        <v>2184</v>
      </c>
      <c r="T8" s="69"/>
    </row>
    <row r="9" spans="1:20" x14ac:dyDescent="0.25">
      <c r="A9" s="68" t="str">
        <f t="shared" ref="A9:A40" si="0">B9&amp;C9</f>
        <v xml:space="preserve">KrielSeriti </v>
      </c>
      <c r="B9" s="69" t="s">
        <v>410</v>
      </c>
      <c r="C9" s="69" t="s">
        <v>450</v>
      </c>
      <c r="D9" s="68" t="s">
        <v>423</v>
      </c>
      <c r="E9" s="68">
        <v>1</v>
      </c>
      <c r="F9" s="68" t="str">
        <f t="shared" ref="F9:F28" si="1">INDEX($A$9:$A$128,(E9-1)*6+1)</f>
        <v xml:space="preserve">KrielSeriti </v>
      </c>
      <c r="G9" s="68">
        <f t="shared" ref="G9:G28" si="2">MATCH(F9,$A$9:$A$128,0)</f>
        <v>1</v>
      </c>
      <c r="H9" s="68" t="str">
        <f t="shared" ref="H9:H28" si="3">INDEX($D$9:$D$128,$G9)</f>
        <v>Cost plus</v>
      </c>
      <c r="I9" s="68" t="str">
        <f t="shared" ref="I9:I28" si="4">INDEX($C$9:$C$128,$G9)</f>
        <v xml:space="preserve">Seriti </v>
      </c>
      <c r="J9" s="68" t="str">
        <f t="shared" ref="J9:J28" si="5">INDEX($B$9:$B$128,$G9)</f>
        <v>Kriel</v>
      </c>
      <c r="K9" s="68">
        <f t="shared" ref="K9:N28" si="6">INDEX($C$9:$C$128,$G9+K$7)</f>
        <v>4573</v>
      </c>
      <c r="L9" s="68">
        <f t="shared" si="6"/>
        <v>647</v>
      </c>
      <c r="M9" s="68">
        <f t="shared" si="6"/>
        <v>20.94</v>
      </c>
      <c r="N9" s="68">
        <f t="shared" si="6"/>
        <v>30.897803247373446</v>
      </c>
      <c r="O9" s="73">
        <f t="shared" ref="O9:O28" si="7">K9*M9/1000</f>
        <v>95.758620000000008</v>
      </c>
      <c r="P9" s="73">
        <f>L9*K9/1000000</f>
        <v>2.9587310000000002</v>
      </c>
      <c r="Q9" s="73" cm="1">
        <f t="array" ref="Q9">INDEX($C$9:$C$128,$G9+Q$7)/1000000</f>
        <v>2.9587310000000002</v>
      </c>
      <c r="S9" s="69"/>
    </row>
    <row r="10" spans="1:20" x14ac:dyDescent="0.25">
      <c r="A10" s="68" t="str">
        <f t="shared" si="0"/>
        <v>Ktons4573</v>
      </c>
      <c r="B10" s="68" t="s">
        <v>402</v>
      </c>
      <c r="C10" s="68">
        <v>4573</v>
      </c>
      <c r="D10" s="68" t="s">
        <v>423</v>
      </c>
      <c r="E10" s="68">
        <v>2</v>
      </c>
      <c r="F10" s="68" t="str">
        <f t="shared" si="1"/>
        <v>LethaboSeriti</v>
      </c>
      <c r="G10" s="68">
        <f t="shared" si="2"/>
        <v>7</v>
      </c>
      <c r="H10" s="68" t="str">
        <f t="shared" si="3"/>
        <v>Cost plus</v>
      </c>
      <c r="I10" s="68" t="str">
        <f t="shared" si="4"/>
        <v>Seriti</v>
      </c>
      <c r="J10" s="68" t="str">
        <f t="shared" si="5"/>
        <v>Lethabo</v>
      </c>
      <c r="K10" s="68">
        <f t="shared" si="6"/>
        <v>14790</v>
      </c>
      <c r="L10" s="68">
        <f t="shared" si="6"/>
        <v>222</v>
      </c>
      <c r="M10" s="68">
        <f t="shared" si="6"/>
        <v>15.4</v>
      </c>
      <c r="N10" s="68">
        <f t="shared" si="6"/>
        <v>14.415584415584416</v>
      </c>
      <c r="O10" s="73">
        <f t="shared" si="7"/>
        <v>227.76599999999999</v>
      </c>
      <c r="P10" s="73">
        <f t="shared" ref="P10:P28" si="8">L10*K10/1000000</f>
        <v>3.2833800000000002</v>
      </c>
      <c r="Q10" s="73" cm="1">
        <f t="array" ref="Q10">INDEX($C$9:$C$128,$G10+Q$7)/1000000</f>
        <v>3.2833800000000002</v>
      </c>
    </row>
    <row r="11" spans="1:20" x14ac:dyDescent="0.25">
      <c r="A11" s="68" t="str">
        <f t="shared" si="0"/>
        <v>Rand '0002958731</v>
      </c>
      <c r="B11" s="68" t="s">
        <v>401</v>
      </c>
      <c r="C11" s="68">
        <v>2958731</v>
      </c>
      <c r="D11" s="68" t="s">
        <v>423</v>
      </c>
      <c r="E11" s="68">
        <v>3</v>
      </c>
      <c r="F11" s="68" t="str">
        <f t="shared" si="1"/>
        <v>TutukaSeriti</v>
      </c>
      <c r="G11" s="68">
        <f t="shared" si="2"/>
        <v>13</v>
      </c>
      <c r="H11" s="68" t="str">
        <f t="shared" si="3"/>
        <v>Cost plus</v>
      </c>
      <c r="I11" s="68" t="str">
        <f t="shared" si="4"/>
        <v>Seriti</v>
      </c>
      <c r="J11" s="68" t="str">
        <f t="shared" si="5"/>
        <v>Tutuka</v>
      </c>
      <c r="K11" s="68">
        <f t="shared" si="6"/>
        <v>3591</v>
      </c>
      <c r="L11" s="68">
        <f t="shared" si="6"/>
        <v>708</v>
      </c>
      <c r="M11" s="68">
        <f t="shared" si="6"/>
        <v>20.350000000000001</v>
      </c>
      <c r="N11" s="68">
        <f t="shared" si="6"/>
        <v>34.791154791154788</v>
      </c>
      <c r="O11" s="73">
        <f t="shared" si="7"/>
        <v>73.076850000000007</v>
      </c>
      <c r="P11" s="73">
        <f t="shared" si="8"/>
        <v>2.5424280000000001</v>
      </c>
      <c r="Q11" s="73" cm="1">
        <f t="array" ref="Q11">INDEX($C$9:$C$128,$G11+Q$7)/1000000</f>
        <v>2.5424280000000001</v>
      </c>
    </row>
    <row r="12" spans="1:20" x14ac:dyDescent="0.25">
      <c r="A12" s="68" t="str">
        <f t="shared" si="0"/>
        <v>rands/ton647</v>
      </c>
      <c r="B12" s="68" t="s">
        <v>400</v>
      </c>
      <c r="C12" s="68">
        <f>C11/C10</f>
        <v>647</v>
      </c>
      <c r="D12" s="68" t="s">
        <v>423</v>
      </c>
      <c r="E12" s="68">
        <v>4</v>
      </c>
      <c r="F12" s="68" t="str">
        <f t="shared" si="1"/>
        <v>MatlaExxaro</v>
      </c>
      <c r="G12" s="68">
        <f t="shared" si="2"/>
        <v>19</v>
      </c>
      <c r="H12" s="68" t="str">
        <f t="shared" si="3"/>
        <v>Cost plus</v>
      </c>
      <c r="I12" s="68" t="str">
        <f t="shared" si="4"/>
        <v>Exxaro</v>
      </c>
      <c r="J12" s="68" t="str">
        <f t="shared" si="5"/>
        <v>Matla</v>
      </c>
      <c r="K12" s="68">
        <f t="shared" si="6"/>
        <v>5887</v>
      </c>
      <c r="L12" s="68">
        <f t="shared" si="6"/>
        <v>633</v>
      </c>
      <c r="M12" s="68">
        <f t="shared" si="6"/>
        <v>19.809999999999999</v>
      </c>
      <c r="N12" s="68">
        <f t="shared" si="6"/>
        <v>31.953558808682487</v>
      </c>
      <c r="O12" s="73">
        <f t="shared" si="7"/>
        <v>116.62146999999999</v>
      </c>
      <c r="P12" s="73">
        <f t="shared" si="8"/>
        <v>3.7264710000000001</v>
      </c>
      <c r="Q12" s="73" cm="1">
        <f t="array" ref="Q12">INDEX($C$9:$C$128,$G12+Q$7)/1000000</f>
        <v>3.7264710000000001</v>
      </c>
    </row>
    <row r="13" spans="1:20" x14ac:dyDescent="0.25">
      <c r="A13" s="68" t="str">
        <f t="shared" si="0"/>
        <v>CV as received20.94</v>
      </c>
      <c r="B13" s="68" t="s">
        <v>399</v>
      </c>
      <c r="C13" s="68">
        <v>20.94</v>
      </c>
      <c r="D13" s="68" t="s">
        <v>423</v>
      </c>
      <c r="E13" s="68">
        <v>5</v>
      </c>
      <c r="F13" s="68" t="str">
        <f t="shared" si="1"/>
        <v>Kendal South 32</v>
      </c>
      <c r="G13" s="68">
        <f t="shared" si="2"/>
        <v>25</v>
      </c>
      <c r="H13" s="68" t="str">
        <f t="shared" si="3"/>
        <v>Cost plus</v>
      </c>
      <c r="I13" s="68" t="str">
        <f t="shared" si="4"/>
        <v>South 32</v>
      </c>
      <c r="J13" s="68" t="str">
        <f t="shared" si="5"/>
        <v xml:space="preserve">Kendal </v>
      </c>
      <c r="K13" s="68">
        <f t="shared" si="6"/>
        <v>10290</v>
      </c>
      <c r="L13" s="68">
        <f t="shared" si="6"/>
        <v>458</v>
      </c>
      <c r="M13" s="68">
        <f t="shared" si="6"/>
        <v>18.48</v>
      </c>
      <c r="N13" s="68">
        <f t="shared" si="6"/>
        <v>24.783549783549784</v>
      </c>
      <c r="O13" s="73">
        <f t="shared" si="7"/>
        <v>190.1592</v>
      </c>
      <c r="P13" s="73">
        <f t="shared" si="8"/>
        <v>4.7128199999999998</v>
      </c>
      <c r="Q13" s="73" cm="1">
        <f t="array" ref="Q13">INDEX($C$9:$C$128,$G13+Q$7)/1000000</f>
        <v>4.7128199999999998</v>
      </c>
      <c r="T13" s="73"/>
    </row>
    <row r="14" spans="1:20" x14ac:dyDescent="0.25">
      <c r="A14" s="68" t="str">
        <f t="shared" si="0"/>
        <v>Rand/GJ30.8978032473734</v>
      </c>
      <c r="B14" s="68" t="s">
        <v>398</v>
      </c>
      <c r="C14" s="73">
        <f>C12/C13</f>
        <v>30.897803247373446</v>
      </c>
      <c r="D14" s="68" t="s">
        <v>423</v>
      </c>
      <c r="E14" s="68">
        <v>6</v>
      </c>
      <c r="F14" s="68" t="str">
        <f t="shared" si="1"/>
        <v>DuvhaSouth 32</v>
      </c>
      <c r="G14" s="68">
        <f t="shared" si="2"/>
        <v>31</v>
      </c>
      <c r="H14" s="68" t="str">
        <f t="shared" si="3"/>
        <v>Fixed price contracts</v>
      </c>
      <c r="I14" s="68" t="str">
        <f t="shared" si="4"/>
        <v>South 32</v>
      </c>
      <c r="J14" s="68" t="str">
        <f t="shared" si="5"/>
        <v>Duvha</v>
      </c>
      <c r="K14" s="68">
        <f t="shared" si="6"/>
        <v>5895</v>
      </c>
      <c r="L14" s="68">
        <f t="shared" si="6"/>
        <v>208.60882103477525</v>
      </c>
      <c r="M14" s="68">
        <f t="shared" si="6"/>
        <v>20.78</v>
      </c>
      <c r="N14" s="68">
        <f t="shared" si="6"/>
        <v>10.038923052684083</v>
      </c>
      <c r="O14" s="73">
        <f t="shared" si="7"/>
        <v>122.49810000000001</v>
      </c>
      <c r="P14" s="73">
        <f t="shared" si="8"/>
        <v>1.229749</v>
      </c>
      <c r="Q14" s="73" cm="1">
        <f t="array" ref="Q14">INDEX($C$9:$C$128,$G14+Q$7)/1000000</f>
        <v>1.229749</v>
      </c>
    </row>
    <row r="15" spans="1:20" x14ac:dyDescent="0.25">
      <c r="A15" s="68" t="str">
        <f t="shared" si="0"/>
        <v>LethaboSeriti</v>
      </c>
      <c r="B15" s="69" t="s">
        <v>441</v>
      </c>
      <c r="C15" s="69" t="s">
        <v>422</v>
      </c>
      <c r="D15" s="68" t="s">
        <v>423</v>
      </c>
      <c r="E15" s="68">
        <v>7</v>
      </c>
      <c r="F15" s="68" t="str">
        <f t="shared" si="1"/>
        <v xml:space="preserve">MatimbaExxaro </v>
      </c>
      <c r="G15" s="68">
        <f t="shared" si="2"/>
        <v>37</v>
      </c>
      <c r="H15" s="68" t="str">
        <f t="shared" si="3"/>
        <v>Fixed price contracts</v>
      </c>
      <c r="I15" s="68" t="str">
        <f t="shared" si="4"/>
        <v xml:space="preserve">Exxaro </v>
      </c>
      <c r="J15" s="68" t="str">
        <f t="shared" si="5"/>
        <v>Matimba</v>
      </c>
      <c r="K15" s="68">
        <f t="shared" si="6"/>
        <v>14425</v>
      </c>
      <c r="L15" s="68">
        <f t="shared" si="6"/>
        <v>326.47840554592722</v>
      </c>
      <c r="M15" s="68">
        <f t="shared" si="6"/>
        <v>18.690000000000001</v>
      </c>
      <c r="N15" s="68">
        <f t="shared" si="6"/>
        <v>17.4680794834632</v>
      </c>
      <c r="O15" s="73">
        <f t="shared" si="7"/>
        <v>269.60325</v>
      </c>
      <c r="P15" s="73">
        <f t="shared" si="8"/>
        <v>4.7094509999999996</v>
      </c>
      <c r="Q15" s="73" cm="1">
        <f t="array" ref="Q15">INDEX($C$9:$C$128,$G15+Q$7)/1000000</f>
        <v>4.7094509999999996</v>
      </c>
    </row>
    <row r="16" spans="1:20" x14ac:dyDescent="0.25">
      <c r="A16" s="68" t="str">
        <f t="shared" si="0"/>
        <v>Ktons14790</v>
      </c>
      <c r="B16" s="68" t="s">
        <v>402</v>
      </c>
      <c r="C16" s="68">
        <v>14790</v>
      </c>
      <c r="D16" s="68" t="s">
        <v>423</v>
      </c>
      <c r="E16" s="68">
        <v>8</v>
      </c>
      <c r="F16" s="68" t="str">
        <f t="shared" si="1"/>
        <v>MedupiExxaro</v>
      </c>
      <c r="G16" s="68">
        <f t="shared" si="2"/>
        <v>43</v>
      </c>
      <c r="H16" s="68" t="str">
        <f t="shared" si="3"/>
        <v>Fixed price contracts</v>
      </c>
      <c r="I16" s="68" t="str">
        <f t="shared" si="4"/>
        <v>Exxaro</v>
      </c>
      <c r="J16" s="68" t="str">
        <f t="shared" si="5"/>
        <v>Medupi</v>
      </c>
      <c r="K16" s="68">
        <f t="shared" si="6"/>
        <v>9539</v>
      </c>
      <c r="L16" s="68">
        <f t="shared" si="6"/>
        <v>399.64650382639689</v>
      </c>
      <c r="M16" s="68">
        <f t="shared" si="6"/>
        <v>18.690000000000001</v>
      </c>
      <c r="N16" s="68">
        <f t="shared" si="6"/>
        <v>21.382905501679875</v>
      </c>
      <c r="O16" s="73">
        <f t="shared" si="7"/>
        <v>178.28390999999999</v>
      </c>
      <c r="P16" s="73">
        <f t="shared" si="8"/>
        <v>3.8122280000000002</v>
      </c>
      <c r="Q16" s="73" cm="1">
        <f t="array" ref="Q16">INDEX($C$9:$C$128,$G16+Q$7)/1000000</f>
        <v>3.8122280000000002</v>
      </c>
    </row>
    <row r="17" spans="1:20" x14ac:dyDescent="0.25">
      <c r="A17" s="68" t="str">
        <f t="shared" si="0"/>
        <v>Rand '0003283380</v>
      </c>
      <c r="B17" s="68" t="s">
        <v>401</v>
      </c>
      <c r="C17" s="68">
        <v>3283380</v>
      </c>
      <c r="D17" s="68" t="s">
        <v>423</v>
      </c>
      <c r="E17" s="68">
        <v>9</v>
      </c>
      <c r="F17" s="68" t="str">
        <f t="shared" si="1"/>
        <v>Arnotvarious</v>
      </c>
      <c r="G17" s="68">
        <f t="shared" si="2"/>
        <v>49</v>
      </c>
      <c r="H17" s="68" t="str">
        <f t="shared" si="3"/>
        <v>Short and medium term contracts</v>
      </c>
      <c r="I17" s="68" t="str">
        <f t="shared" si="4"/>
        <v>various</v>
      </c>
      <c r="J17" s="68" t="str">
        <f t="shared" si="5"/>
        <v>Arnot</v>
      </c>
      <c r="K17" s="68">
        <f t="shared" si="6"/>
        <v>5858</v>
      </c>
      <c r="L17" s="68">
        <f t="shared" si="6"/>
        <v>531.53192215773299</v>
      </c>
      <c r="M17" s="68">
        <f t="shared" si="6"/>
        <v>20.52</v>
      </c>
      <c r="N17" s="68">
        <f t="shared" si="6"/>
        <v>25.903115114899268</v>
      </c>
      <c r="O17" s="73">
        <f t="shared" si="7"/>
        <v>120.20616</v>
      </c>
      <c r="P17" s="73">
        <f t="shared" si="8"/>
        <v>3.1137139999999999</v>
      </c>
      <c r="Q17" s="73" cm="1">
        <f t="array" ref="Q17">INDEX($C$9:$C$128,$G17+Q$7)/1000000</f>
        <v>3.1137139999999999</v>
      </c>
    </row>
    <row r="18" spans="1:20" x14ac:dyDescent="0.25">
      <c r="A18" s="68" t="str">
        <f t="shared" si="0"/>
        <v>rands/ton222</v>
      </c>
      <c r="B18" s="68" t="s">
        <v>400</v>
      </c>
      <c r="C18" s="68">
        <f>C17/C16</f>
        <v>222</v>
      </c>
      <c r="D18" s="68" t="s">
        <v>423</v>
      </c>
      <c r="E18" s="68">
        <v>10</v>
      </c>
      <c r="F18" s="68" t="str">
        <f t="shared" si="1"/>
        <v>Tutuka various</v>
      </c>
      <c r="G18" s="68">
        <f t="shared" si="2"/>
        <v>55</v>
      </c>
      <c r="H18" s="68" t="str">
        <f t="shared" si="3"/>
        <v>Short and medium term contracts</v>
      </c>
      <c r="I18" s="68" t="str">
        <f t="shared" si="4"/>
        <v>various</v>
      </c>
      <c r="J18" s="68" t="str">
        <f t="shared" si="5"/>
        <v xml:space="preserve">Tutuka </v>
      </c>
      <c r="K18" s="68">
        <f t="shared" si="6"/>
        <v>5417</v>
      </c>
      <c r="L18" s="68">
        <f t="shared" si="6"/>
        <v>623.52409082518</v>
      </c>
      <c r="M18" s="68">
        <f t="shared" si="6"/>
        <v>20.350000000000001</v>
      </c>
      <c r="N18" s="68">
        <f t="shared" si="6"/>
        <v>30.640004463153804</v>
      </c>
      <c r="O18" s="73">
        <f t="shared" si="7"/>
        <v>110.23595000000002</v>
      </c>
      <c r="P18" s="73">
        <f t="shared" si="8"/>
        <v>3.3776299999999999</v>
      </c>
      <c r="Q18" s="73" cm="1">
        <f t="array" ref="Q18">INDEX($C$9:$C$128,$G18+Q$7)/1000000</f>
        <v>3.3776299999999999</v>
      </c>
    </row>
    <row r="19" spans="1:20" x14ac:dyDescent="0.25">
      <c r="A19" s="68" t="str">
        <f t="shared" si="0"/>
        <v>CV as received15.4</v>
      </c>
      <c r="B19" s="68" t="s">
        <v>399</v>
      </c>
      <c r="C19" s="68">
        <v>15.4</v>
      </c>
      <c r="D19" s="68" t="s">
        <v>423</v>
      </c>
      <c r="E19" s="68">
        <v>11</v>
      </c>
      <c r="F19" s="68" t="str">
        <f t="shared" si="1"/>
        <v>Matlavarious</v>
      </c>
      <c r="G19" s="68">
        <f t="shared" si="2"/>
        <v>61</v>
      </c>
      <c r="H19" s="68" t="str">
        <f t="shared" si="3"/>
        <v>Short and medium term contracts</v>
      </c>
      <c r="I19" s="68" t="str">
        <f t="shared" si="4"/>
        <v>various</v>
      </c>
      <c r="J19" s="68" t="str">
        <f t="shared" si="5"/>
        <v>Matla</v>
      </c>
      <c r="K19" s="68">
        <f t="shared" si="6"/>
        <v>3538</v>
      </c>
      <c r="L19" s="68">
        <f t="shared" si="6"/>
        <v>541.82221594120972</v>
      </c>
      <c r="M19" s="68">
        <f t="shared" si="6"/>
        <v>19.809999999999999</v>
      </c>
      <c r="N19" s="68">
        <f t="shared" si="6"/>
        <v>27.350944772398272</v>
      </c>
      <c r="O19" s="73">
        <f t="shared" si="7"/>
        <v>70.087779999999995</v>
      </c>
      <c r="P19" s="73">
        <f t="shared" si="8"/>
        <v>1.9169670000000001</v>
      </c>
      <c r="Q19" s="73" cm="1">
        <f t="array" ref="Q19">INDEX($C$9:$C$128,$G19+Q$7)/1000000</f>
        <v>1.9169670000000001</v>
      </c>
      <c r="T19" s="69"/>
    </row>
    <row r="20" spans="1:20" x14ac:dyDescent="0.25">
      <c r="A20" s="68" t="str">
        <f t="shared" si="0"/>
        <v>Rand/GJ14.4155844155844</v>
      </c>
      <c r="B20" s="68" t="s">
        <v>398</v>
      </c>
      <c r="C20" s="73">
        <f>C18/C19</f>
        <v>14.415584415584416</v>
      </c>
      <c r="D20" s="68" t="s">
        <v>423</v>
      </c>
      <c r="E20" s="68">
        <v>12</v>
      </c>
      <c r="F20" s="68" t="str">
        <f t="shared" si="1"/>
        <v>Kendal various</v>
      </c>
      <c r="G20" s="68">
        <f t="shared" si="2"/>
        <v>67</v>
      </c>
      <c r="H20" s="68" t="str">
        <f t="shared" si="3"/>
        <v>Short and medium term contracts</v>
      </c>
      <c r="I20" s="68" t="str">
        <f t="shared" si="4"/>
        <v>various</v>
      </c>
      <c r="J20" s="68" t="str">
        <f t="shared" si="5"/>
        <v xml:space="preserve">Kendal </v>
      </c>
      <c r="K20" s="68">
        <f t="shared" si="6"/>
        <v>3993</v>
      </c>
      <c r="L20" s="68">
        <f t="shared" si="6"/>
        <v>428.62734785875284</v>
      </c>
      <c r="M20" s="68">
        <f t="shared" si="6"/>
        <v>18.48</v>
      </c>
      <c r="N20" s="68">
        <f t="shared" si="6"/>
        <v>23.194120555127316</v>
      </c>
      <c r="O20" s="73">
        <f t="shared" si="7"/>
        <v>73.790639999999996</v>
      </c>
      <c r="P20" s="73">
        <f t="shared" si="8"/>
        <v>1.7115089999999999</v>
      </c>
      <c r="Q20" s="73" cm="1">
        <f t="array" ref="Q20">INDEX($C$9:$C$128,$G20+Q$7)/1000000</f>
        <v>1.7115089999999999</v>
      </c>
    </row>
    <row r="21" spans="1:20" x14ac:dyDescent="0.25">
      <c r="A21" s="68" t="str">
        <f t="shared" si="0"/>
        <v>TutukaSeriti</v>
      </c>
      <c r="B21" s="69" t="s">
        <v>418</v>
      </c>
      <c r="C21" s="69" t="s">
        <v>422</v>
      </c>
      <c r="D21" s="68" t="s">
        <v>423</v>
      </c>
      <c r="E21" s="68">
        <v>13</v>
      </c>
      <c r="F21" s="68" t="str">
        <f t="shared" si="1"/>
        <v>Camden various</v>
      </c>
      <c r="G21" s="68">
        <f t="shared" si="2"/>
        <v>73</v>
      </c>
      <c r="H21" s="68" t="str">
        <f t="shared" si="3"/>
        <v>Short and medium term contracts</v>
      </c>
      <c r="I21" s="68" t="str">
        <f t="shared" si="4"/>
        <v>various</v>
      </c>
      <c r="J21" s="68" t="str">
        <f t="shared" si="5"/>
        <v xml:space="preserve">Camden </v>
      </c>
      <c r="K21" s="68">
        <f t="shared" si="6"/>
        <v>4508</v>
      </c>
      <c r="L21" s="68">
        <f t="shared" si="6"/>
        <v>601.90128660159712</v>
      </c>
      <c r="M21" s="68">
        <f t="shared" si="6"/>
        <v>18.649999999999999</v>
      </c>
      <c r="N21" s="68">
        <f t="shared" si="6"/>
        <v>32.273527431721028</v>
      </c>
      <c r="O21" s="73">
        <f t="shared" si="7"/>
        <v>84.07419999999999</v>
      </c>
      <c r="P21" s="73">
        <f t="shared" si="8"/>
        <v>2.713371</v>
      </c>
      <c r="Q21" s="73" cm="1">
        <f t="array" ref="Q21">INDEX($C$9:$C$128,$G21+Q$7)/1000000</f>
        <v>2.713371</v>
      </c>
    </row>
    <row r="22" spans="1:20" x14ac:dyDescent="0.25">
      <c r="A22" s="68" t="str">
        <f t="shared" si="0"/>
        <v>Ktons3591</v>
      </c>
      <c r="B22" s="68" t="s">
        <v>402</v>
      </c>
      <c r="C22" s="68">
        <v>3591</v>
      </c>
      <c r="D22" s="68" t="s">
        <v>423</v>
      </c>
      <c r="E22" s="68">
        <v>14</v>
      </c>
      <c r="F22" s="68" t="str">
        <f t="shared" si="1"/>
        <v>Krielvarious</v>
      </c>
      <c r="G22" s="68">
        <f t="shared" si="2"/>
        <v>79</v>
      </c>
      <c r="H22" s="68" t="str">
        <f t="shared" si="3"/>
        <v>Short and medium term contracts</v>
      </c>
      <c r="I22" s="68" t="str">
        <f t="shared" si="4"/>
        <v>various</v>
      </c>
      <c r="J22" s="68" t="str">
        <f t="shared" si="5"/>
        <v>Kriel</v>
      </c>
      <c r="K22" s="68">
        <f t="shared" si="6"/>
        <v>2559</v>
      </c>
      <c r="L22" s="68">
        <f t="shared" si="6"/>
        <v>511.4591637358343</v>
      </c>
      <c r="M22" s="68">
        <f t="shared" si="6"/>
        <v>20.94</v>
      </c>
      <c r="N22" s="68">
        <f t="shared" si="6"/>
        <v>24.424983941539363</v>
      </c>
      <c r="O22" s="73">
        <f t="shared" si="7"/>
        <v>53.585460000000005</v>
      </c>
      <c r="P22" s="73">
        <f t="shared" si="8"/>
        <v>1.308824</v>
      </c>
      <c r="Q22" s="73" cm="1">
        <f t="array" ref="Q22">INDEX($C$9:$C$128,$G22+Q$7)/1000000</f>
        <v>1.308824</v>
      </c>
    </row>
    <row r="23" spans="1:20" x14ac:dyDescent="0.25">
      <c r="A23" s="68" t="str">
        <f t="shared" si="0"/>
        <v>Rand '0002542428</v>
      </c>
      <c r="B23" s="68" t="s">
        <v>401</v>
      </c>
      <c r="C23" s="68">
        <v>2542428</v>
      </c>
      <c r="D23" s="68" t="s">
        <v>423</v>
      </c>
      <c r="E23" s="68">
        <v>15</v>
      </c>
      <c r="F23" s="68" t="str">
        <f t="shared" si="1"/>
        <v>Hendrinavarious</v>
      </c>
      <c r="G23" s="68">
        <f t="shared" si="2"/>
        <v>85</v>
      </c>
      <c r="H23" s="68" t="str">
        <f t="shared" si="3"/>
        <v>Short and medium term contracts</v>
      </c>
      <c r="I23" s="68" t="str">
        <f t="shared" si="4"/>
        <v>various</v>
      </c>
      <c r="J23" s="68" t="str">
        <f t="shared" si="5"/>
        <v>Hendrina</v>
      </c>
      <c r="K23" s="68">
        <f t="shared" si="6"/>
        <v>4843</v>
      </c>
      <c r="L23" s="68">
        <f t="shared" si="6"/>
        <v>592.04790419161679</v>
      </c>
      <c r="M23" s="68">
        <f t="shared" si="6"/>
        <v>20.64</v>
      </c>
      <c r="N23" s="68">
        <f t="shared" si="6"/>
        <v>28.684491482151977</v>
      </c>
      <c r="O23" s="73">
        <f t="shared" si="7"/>
        <v>99.959519999999998</v>
      </c>
      <c r="P23" s="73">
        <f t="shared" si="8"/>
        <v>2.8672879999999998</v>
      </c>
      <c r="Q23" s="73" cm="1">
        <f t="array" ref="Q23">INDEX($C$9:$C$128,$G23+Q$7)/1000000</f>
        <v>2.8672879999999998</v>
      </c>
    </row>
    <row r="24" spans="1:20" x14ac:dyDescent="0.25">
      <c r="A24" s="68" t="str">
        <f t="shared" si="0"/>
        <v>rands/ton708</v>
      </c>
      <c r="B24" s="68" t="s">
        <v>400</v>
      </c>
      <c r="C24" s="68">
        <f>C23/C22</f>
        <v>708</v>
      </c>
      <c r="D24" s="68" t="s">
        <v>423</v>
      </c>
      <c r="E24" s="68">
        <v>16</v>
      </c>
      <c r="F24" s="68" t="str">
        <f t="shared" si="1"/>
        <v>duvhavarious</v>
      </c>
      <c r="G24" s="68">
        <f t="shared" si="2"/>
        <v>91</v>
      </c>
      <c r="H24" s="68" t="str">
        <f t="shared" si="3"/>
        <v>Short and medium term contracts</v>
      </c>
      <c r="I24" s="68" t="str">
        <f t="shared" si="4"/>
        <v>various</v>
      </c>
      <c r="J24" s="68" t="str">
        <f t="shared" si="5"/>
        <v>duvha</v>
      </c>
      <c r="K24" s="68">
        <f t="shared" si="6"/>
        <v>104</v>
      </c>
      <c r="L24" s="68">
        <f t="shared" si="6"/>
        <v>374.875</v>
      </c>
      <c r="M24" s="68">
        <f t="shared" si="6"/>
        <v>20.78</v>
      </c>
      <c r="N24" s="68">
        <f t="shared" si="6"/>
        <v>18.040182868142445</v>
      </c>
      <c r="O24" s="73">
        <f t="shared" si="7"/>
        <v>2.1611199999999999</v>
      </c>
      <c r="P24" s="73">
        <f t="shared" si="8"/>
        <v>3.8987000000000001E-2</v>
      </c>
      <c r="Q24" s="73" cm="1">
        <f t="array" ref="Q24">INDEX($C$9:$C$128,$G24+Q$7)/1000000</f>
        <v>3.8987000000000001E-2</v>
      </c>
    </row>
    <row r="25" spans="1:20" x14ac:dyDescent="0.25">
      <c r="A25" s="68" t="str">
        <f t="shared" si="0"/>
        <v>CV as received20.35</v>
      </c>
      <c r="B25" s="68" t="s">
        <v>399</v>
      </c>
      <c r="C25" s="68">
        <v>20.350000000000001</v>
      </c>
      <c r="D25" s="68" t="s">
        <v>423</v>
      </c>
      <c r="E25" s="68">
        <v>17</v>
      </c>
      <c r="F25" s="68" t="str">
        <f t="shared" si="1"/>
        <v>Majubavarious</v>
      </c>
      <c r="G25" s="68">
        <f t="shared" si="2"/>
        <v>97</v>
      </c>
      <c r="H25" s="68" t="str">
        <f t="shared" si="3"/>
        <v>Short and medium term contracts</v>
      </c>
      <c r="I25" s="68" t="str">
        <f t="shared" si="4"/>
        <v>various</v>
      </c>
      <c r="J25" s="68" t="str">
        <f t="shared" si="5"/>
        <v>Majuba</v>
      </c>
      <c r="K25" s="68">
        <f t="shared" si="6"/>
        <v>14509</v>
      </c>
      <c r="L25" s="68">
        <f t="shared" si="6"/>
        <v>598.09111585912194</v>
      </c>
      <c r="M25" s="68">
        <f t="shared" si="6"/>
        <v>18.62</v>
      </c>
      <c r="N25" s="68">
        <f t="shared" si="6"/>
        <v>32.120897736794944</v>
      </c>
      <c r="O25" s="73">
        <f t="shared" si="7"/>
        <v>270.15758</v>
      </c>
      <c r="P25" s="73">
        <f t="shared" si="8"/>
        <v>8.6777040000000003</v>
      </c>
      <c r="Q25" s="73" cm="1">
        <f t="array" ref="Q25">INDEX($C$9:$C$128,$G25+Q$7)/1000000</f>
        <v>8.6777040000000003</v>
      </c>
    </row>
    <row r="26" spans="1:20" x14ac:dyDescent="0.25">
      <c r="A26" s="68" t="str">
        <f t="shared" si="0"/>
        <v>Rand/GJ34.7911547911548</v>
      </c>
      <c r="B26" s="68" t="s">
        <v>398</v>
      </c>
      <c r="C26" s="68">
        <f>C24/C25</f>
        <v>34.791154791154788</v>
      </c>
      <c r="D26" s="68" t="s">
        <v>423</v>
      </c>
      <c r="E26" s="68">
        <v>18</v>
      </c>
      <c r="F26" s="68" t="str">
        <f t="shared" si="1"/>
        <v>Komativarious</v>
      </c>
      <c r="G26" s="68">
        <f t="shared" si="2"/>
        <v>103</v>
      </c>
      <c r="H26" s="68" t="str">
        <f t="shared" si="3"/>
        <v>Short and medium term contracts</v>
      </c>
      <c r="I26" s="68" t="str">
        <f t="shared" si="4"/>
        <v>various</v>
      </c>
      <c r="J26" s="68" t="str">
        <f t="shared" si="5"/>
        <v>Komati</v>
      </c>
      <c r="K26" s="68">
        <f t="shared" si="6"/>
        <v>1265</v>
      </c>
      <c r="L26" s="68">
        <f t="shared" si="6"/>
        <v>682.33043478260868</v>
      </c>
      <c r="M26" s="68">
        <f t="shared" si="6"/>
        <v>19.68</v>
      </c>
      <c r="N26" s="68">
        <f t="shared" si="6"/>
        <v>34.671261930010601</v>
      </c>
      <c r="O26" s="73">
        <f t="shared" si="7"/>
        <v>24.895199999999999</v>
      </c>
      <c r="P26" s="73">
        <f t="shared" si="8"/>
        <v>0.86314800000000003</v>
      </c>
      <c r="Q26" s="73" cm="1">
        <f t="array" ref="Q26">INDEX($C$9:$C$128,$G26+Q$7)/1000000</f>
        <v>0.86314800000000003</v>
      </c>
    </row>
    <row r="27" spans="1:20" x14ac:dyDescent="0.25">
      <c r="A27" s="68" t="str">
        <f t="shared" si="0"/>
        <v>MatlaExxaro</v>
      </c>
      <c r="B27" s="69" t="s">
        <v>413</v>
      </c>
      <c r="C27" s="69" t="s">
        <v>427</v>
      </c>
      <c r="D27" s="68" t="s">
        <v>423</v>
      </c>
      <c r="E27" s="68">
        <v>19</v>
      </c>
      <c r="F27" s="68" t="str">
        <f t="shared" si="1"/>
        <v>Grootvleivarious</v>
      </c>
      <c r="G27" s="68">
        <f t="shared" si="2"/>
        <v>109</v>
      </c>
      <c r="H27" s="68" t="str">
        <f t="shared" si="3"/>
        <v>Short and medium term contracts</v>
      </c>
      <c r="I27" s="68" t="str">
        <f t="shared" si="4"/>
        <v>various</v>
      </c>
      <c r="J27" s="68" t="str">
        <f t="shared" si="5"/>
        <v>Grootvlei</v>
      </c>
      <c r="K27" s="68">
        <f t="shared" si="6"/>
        <v>1334</v>
      </c>
      <c r="L27" s="68">
        <f t="shared" si="6"/>
        <v>612.39055472263863</v>
      </c>
      <c r="M27" s="68">
        <f t="shared" si="6"/>
        <v>20.58</v>
      </c>
      <c r="N27" s="68">
        <f t="shared" si="6"/>
        <v>29.756586721216649</v>
      </c>
      <c r="O27" s="73">
        <f t="shared" si="7"/>
        <v>27.453719999999997</v>
      </c>
      <c r="P27" s="73">
        <f t="shared" si="8"/>
        <v>0.81692899999999991</v>
      </c>
      <c r="Q27" s="73" cm="1">
        <f t="array" ref="Q27">INDEX($C$9:$C$128,$G27+Q$7)/1000000</f>
        <v>0.81692900000000002</v>
      </c>
    </row>
    <row r="28" spans="1:20" x14ac:dyDescent="0.25">
      <c r="A28" s="68" t="str">
        <f t="shared" si="0"/>
        <v>Ktons5887</v>
      </c>
      <c r="B28" s="68" t="s">
        <v>402</v>
      </c>
      <c r="C28" s="68">
        <v>5887</v>
      </c>
      <c r="D28" s="68" t="s">
        <v>423</v>
      </c>
      <c r="E28" s="68">
        <v>20</v>
      </c>
      <c r="F28" s="68" t="str">
        <f t="shared" si="1"/>
        <v>Kusile various</v>
      </c>
      <c r="G28" s="68">
        <f t="shared" si="2"/>
        <v>115</v>
      </c>
      <c r="H28" s="68" t="str">
        <f t="shared" si="3"/>
        <v>Short and medium term contracts</v>
      </c>
      <c r="I28" s="68" t="str">
        <f t="shared" si="4"/>
        <v>various</v>
      </c>
      <c r="J28" s="68" t="str">
        <f t="shared" si="5"/>
        <v xml:space="preserve">Kusile </v>
      </c>
      <c r="K28" s="68">
        <f t="shared" si="6"/>
        <v>2158</v>
      </c>
      <c r="L28" s="68">
        <f t="shared" si="6"/>
        <v>552.52594995366076</v>
      </c>
      <c r="M28" s="68">
        <f t="shared" si="6"/>
        <v>17.53</v>
      </c>
      <c r="N28" s="68">
        <f t="shared" si="6"/>
        <v>31.518879061817497</v>
      </c>
      <c r="O28" s="73">
        <f t="shared" si="7"/>
        <v>37.829740000000008</v>
      </c>
      <c r="P28" s="73">
        <f t="shared" si="8"/>
        <v>1.1923509999999999</v>
      </c>
      <c r="Q28" s="73" cm="1">
        <f t="array" ref="Q28">INDEX($C$9:$C$128,$G28+Q$7)/1000000</f>
        <v>1.1923509999999999</v>
      </c>
    </row>
    <row r="29" spans="1:20" x14ac:dyDescent="0.25">
      <c r="A29" s="68" t="str">
        <f t="shared" si="0"/>
        <v>Rand '0003726471</v>
      </c>
      <c r="B29" s="68" t="s">
        <v>401</v>
      </c>
      <c r="C29" s="68">
        <v>3726471</v>
      </c>
      <c r="D29" s="68" t="s">
        <v>423</v>
      </c>
      <c r="O29" s="73">
        <f>SUM(O9:O28)</f>
        <v>2248.2044700000001</v>
      </c>
      <c r="P29" s="73">
        <f>SUM(P9:P28)</f>
        <v>55.573680000000003</v>
      </c>
      <c r="Q29" s="73">
        <f>SUM(Q9:Q28)</f>
        <v>55.573680000000003</v>
      </c>
      <c r="R29" s="74">
        <f>Q29*1000/O29</f>
        <v>24.719139536271804</v>
      </c>
    </row>
    <row r="30" spans="1:20" x14ac:dyDescent="0.25">
      <c r="A30" s="68" t="str">
        <f t="shared" si="0"/>
        <v>rands/ton633</v>
      </c>
      <c r="B30" s="68" t="s">
        <v>400</v>
      </c>
      <c r="C30" s="68">
        <f>C29/C28</f>
        <v>633</v>
      </c>
      <c r="D30" s="68" t="s">
        <v>423</v>
      </c>
      <c r="N30" s="68" t="s">
        <v>115</v>
      </c>
      <c r="O30" s="68">
        <v>2217</v>
      </c>
    </row>
    <row r="31" spans="1:20" x14ac:dyDescent="0.25">
      <c r="A31" s="68" t="str">
        <f t="shared" si="0"/>
        <v>CV as received19.81</v>
      </c>
      <c r="B31" s="68" t="s">
        <v>399</v>
      </c>
      <c r="C31" s="68">
        <v>19.809999999999999</v>
      </c>
      <c r="D31" s="68" t="s">
        <v>423</v>
      </c>
      <c r="N31" s="68" t="s">
        <v>486</v>
      </c>
      <c r="O31" s="68">
        <v>20</v>
      </c>
    </row>
    <row r="32" spans="1:20" x14ac:dyDescent="0.25">
      <c r="A32" s="68" t="str">
        <f t="shared" si="0"/>
        <v>Rand/GJ31.9535588086825</v>
      </c>
      <c r="B32" s="68" t="s">
        <v>398</v>
      </c>
      <c r="C32" s="68">
        <f>C30/C31</f>
        <v>31.953558808682487</v>
      </c>
      <c r="D32" s="68" t="s">
        <v>423</v>
      </c>
      <c r="N32" s="68" t="s">
        <v>485</v>
      </c>
      <c r="O32" s="73">
        <f>O30-O31</f>
        <v>2197</v>
      </c>
    </row>
    <row r="33" spans="1:23" x14ac:dyDescent="0.25">
      <c r="A33" s="68" t="str">
        <f t="shared" si="0"/>
        <v>Kendal South 32</v>
      </c>
      <c r="B33" s="68" t="s">
        <v>412</v>
      </c>
      <c r="C33" s="68" t="s">
        <v>459</v>
      </c>
      <c r="D33" s="68" t="s">
        <v>423</v>
      </c>
      <c r="I33" s="68" t="s">
        <v>484</v>
      </c>
      <c r="N33" s="68" t="s">
        <v>483</v>
      </c>
      <c r="O33" s="68">
        <f>O29/O32</f>
        <v>1.0233065407373692</v>
      </c>
      <c r="T33" s="73"/>
    </row>
    <row r="34" spans="1:23" x14ac:dyDescent="0.25">
      <c r="A34" s="68" t="str">
        <f t="shared" si="0"/>
        <v>Ktons10290</v>
      </c>
      <c r="B34" s="68" t="s">
        <v>402</v>
      </c>
      <c r="C34" s="68">
        <v>10290</v>
      </c>
      <c r="D34" s="68" t="s">
        <v>423</v>
      </c>
    </row>
    <row r="35" spans="1:23" x14ac:dyDescent="0.25">
      <c r="A35" s="68" t="str">
        <f t="shared" si="0"/>
        <v>Rand '0004712820</v>
      </c>
      <c r="B35" s="68" t="s">
        <v>401</v>
      </c>
      <c r="C35" s="68">
        <v>4712820</v>
      </c>
      <c r="D35" s="68" t="s">
        <v>423</v>
      </c>
      <c r="F35" s="68" t="s">
        <v>482</v>
      </c>
      <c r="G35" s="68" t="s">
        <v>481</v>
      </c>
      <c r="H35" s="68" t="s">
        <v>480</v>
      </c>
      <c r="I35" s="68" t="s">
        <v>479</v>
      </c>
      <c r="J35" s="68" t="s">
        <v>478</v>
      </c>
      <c r="K35" s="68" t="s">
        <v>477</v>
      </c>
      <c r="L35" s="68" t="s">
        <v>402</v>
      </c>
      <c r="M35" s="68" t="s">
        <v>123</v>
      </c>
      <c r="N35" s="68" t="s">
        <v>476</v>
      </c>
      <c r="O35" s="68" t="s">
        <v>122</v>
      </c>
      <c r="P35" s="68" t="s">
        <v>114</v>
      </c>
      <c r="Q35" s="68" t="s">
        <v>2509</v>
      </c>
      <c r="R35" s="68" t="s">
        <v>2510</v>
      </c>
      <c r="S35" s="68" t="s">
        <v>474</v>
      </c>
      <c r="T35" s="68" t="s">
        <v>139</v>
      </c>
      <c r="U35" s="73"/>
    </row>
    <row r="36" spans="1:23" x14ac:dyDescent="0.25">
      <c r="A36" s="68" t="str">
        <f t="shared" si="0"/>
        <v>rands/ton458</v>
      </c>
      <c r="B36" s="68" t="s">
        <v>400</v>
      </c>
      <c r="C36" s="68">
        <f>C35/C34</f>
        <v>458</v>
      </c>
      <c r="D36" s="68" t="s">
        <v>423</v>
      </c>
      <c r="F36" s="68" t="s">
        <v>473</v>
      </c>
      <c r="G36" s="68">
        <v>49</v>
      </c>
      <c r="H36" s="68" t="s">
        <v>397</v>
      </c>
      <c r="I36" s="68" t="s">
        <v>403</v>
      </c>
      <c r="J36" s="68" t="s">
        <v>416</v>
      </c>
      <c r="K36" s="68" t="s">
        <v>472</v>
      </c>
      <c r="L36" s="74">
        <f t="shared" ref="L36:O46" si="9">INDEX($C$9:$C$128,$G36+K$7)</f>
        <v>5858</v>
      </c>
      <c r="M36" s="74">
        <f t="shared" si="9"/>
        <v>531.53192215773299</v>
      </c>
      <c r="N36" s="74">
        <f t="shared" si="9"/>
        <v>20.52</v>
      </c>
      <c r="O36" s="74">
        <f t="shared" si="9"/>
        <v>25.903115114899268</v>
      </c>
      <c r="P36" s="74">
        <f t="shared" ref="P36:P46" si="10">L36*N36/1000</f>
        <v>120.20616</v>
      </c>
      <c r="Q36" s="74">
        <f>O36*Deflator!$Y$5</f>
        <v>29.862921090396167</v>
      </c>
      <c r="R36" s="74">
        <f>Q36</f>
        <v>29.862921090396167</v>
      </c>
      <c r="U36" s="69"/>
    </row>
    <row r="37" spans="1:23" x14ac:dyDescent="0.25">
      <c r="A37" s="68" t="str">
        <f t="shared" si="0"/>
        <v>CV as received18.48</v>
      </c>
      <c r="B37" s="68" t="s">
        <v>399</v>
      </c>
      <c r="C37" s="68">
        <v>18.48</v>
      </c>
      <c r="D37" s="68" t="s">
        <v>423</v>
      </c>
      <c r="F37" s="68" t="s">
        <v>471</v>
      </c>
      <c r="G37" s="68">
        <v>73</v>
      </c>
      <c r="H37" s="68" t="s">
        <v>397</v>
      </c>
      <c r="I37" s="68" t="s">
        <v>403</v>
      </c>
      <c r="J37" s="68" t="s">
        <v>470</v>
      </c>
      <c r="K37" s="68" t="s">
        <v>469</v>
      </c>
      <c r="L37" s="74">
        <f t="shared" si="9"/>
        <v>4508</v>
      </c>
      <c r="M37" s="74">
        <f t="shared" si="9"/>
        <v>601.90128660159712</v>
      </c>
      <c r="N37" s="74">
        <f t="shared" si="9"/>
        <v>18.649999999999999</v>
      </c>
      <c r="O37" s="74">
        <f t="shared" si="9"/>
        <v>32.273527431721028</v>
      </c>
      <c r="P37" s="74">
        <f t="shared" si="10"/>
        <v>84.07419999999999</v>
      </c>
      <c r="Q37" s="74">
        <f>O37*Deflator!$Y$5</f>
        <v>37.20717754320836</v>
      </c>
      <c r="R37" s="74">
        <f>Q37</f>
        <v>37.20717754320836</v>
      </c>
    </row>
    <row r="38" spans="1:23" x14ac:dyDescent="0.25">
      <c r="A38" s="68" t="str">
        <f t="shared" si="0"/>
        <v>Rand/GJ24.7835497835498</v>
      </c>
      <c r="B38" s="68" t="s">
        <v>398</v>
      </c>
      <c r="C38" s="68">
        <f>C36/C37</f>
        <v>24.783549783549784</v>
      </c>
      <c r="D38" s="68" t="s">
        <v>423</v>
      </c>
      <c r="F38" s="68" t="s">
        <v>468</v>
      </c>
      <c r="G38" s="68">
        <v>31</v>
      </c>
      <c r="H38" s="68" t="s">
        <v>420</v>
      </c>
      <c r="I38" s="391" t="s">
        <v>422</v>
      </c>
      <c r="J38" s="68" t="s">
        <v>466</v>
      </c>
      <c r="K38" s="391" t="s">
        <v>2074</v>
      </c>
      <c r="L38" s="74">
        <f t="shared" si="9"/>
        <v>5895</v>
      </c>
      <c r="M38" s="74">
        <f t="shared" si="9"/>
        <v>208.60882103477525</v>
      </c>
      <c r="N38" s="74">
        <f t="shared" si="9"/>
        <v>20.78</v>
      </c>
      <c r="O38" s="75">
        <f t="shared" si="9"/>
        <v>10.038923052684083</v>
      </c>
      <c r="P38" s="74">
        <f t="shared" si="10"/>
        <v>122.49810000000001</v>
      </c>
      <c r="Q38" s="74">
        <f>O38*Deflator!$Y$5</f>
        <v>11.573571967119355</v>
      </c>
      <c r="R38" s="76">
        <f>S38/N38</f>
        <v>30.513880239294942</v>
      </c>
      <c r="S38" s="68">
        <f>550*Deflator!Y5</f>
        <v>634.07843137254895</v>
      </c>
      <c r="T38" s="68" t="s">
        <v>2073</v>
      </c>
    </row>
    <row r="39" spans="1:23" x14ac:dyDescent="0.25">
      <c r="A39" s="68" t="str">
        <f t="shared" si="0"/>
        <v>DuvhaSouth 32</v>
      </c>
      <c r="B39" s="69" t="s">
        <v>466</v>
      </c>
      <c r="C39" s="69" t="s">
        <v>459</v>
      </c>
      <c r="D39" s="68" t="s">
        <v>420</v>
      </c>
      <c r="F39" s="68" t="s">
        <v>467</v>
      </c>
      <c r="G39" s="68">
        <v>91</v>
      </c>
      <c r="H39" s="68" t="s">
        <v>397</v>
      </c>
      <c r="I39" s="68" t="s">
        <v>403</v>
      </c>
      <c r="J39" s="68" t="s">
        <v>466</v>
      </c>
      <c r="K39" s="68" t="s">
        <v>465</v>
      </c>
      <c r="L39" s="74">
        <f t="shared" si="9"/>
        <v>104</v>
      </c>
      <c r="M39" s="74">
        <f t="shared" si="9"/>
        <v>374.875</v>
      </c>
      <c r="N39" s="74">
        <f t="shared" si="9"/>
        <v>20.78</v>
      </c>
      <c r="O39" s="74">
        <f t="shared" si="9"/>
        <v>18.040182868142445</v>
      </c>
      <c r="P39" s="74">
        <f t="shared" si="10"/>
        <v>2.1611199999999999</v>
      </c>
      <c r="Q39" s="74">
        <f>O39*Deflator!$Y$5</f>
        <v>20.797983372192171</v>
      </c>
      <c r="R39" s="74">
        <f>Q39</f>
        <v>20.797983372192171</v>
      </c>
      <c r="U39" s="73"/>
    </row>
    <row r="40" spans="1:23" x14ac:dyDescent="0.25">
      <c r="A40" s="68" t="str">
        <f t="shared" si="0"/>
        <v>Ktons5895</v>
      </c>
      <c r="B40" s="68" t="s">
        <v>402</v>
      </c>
      <c r="C40" s="68">
        <v>5895</v>
      </c>
      <c r="D40" s="68" t="s">
        <v>420</v>
      </c>
      <c r="F40" s="68" t="s">
        <v>464</v>
      </c>
      <c r="G40" s="68">
        <v>109</v>
      </c>
      <c r="H40" s="68" t="s">
        <v>397</v>
      </c>
      <c r="I40" s="68" t="str">
        <f>INDEX($C$9:$C$128,$G40)</f>
        <v>various</v>
      </c>
      <c r="J40" s="68" t="str">
        <f>INDEX($B$9:$B$128,$G40)</f>
        <v>Grootvlei</v>
      </c>
      <c r="K40" s="68" t="s">
        <v>463</v>
      </c>
      <c r="L40" s="74">
        <f t="shared" si="9"/>
        <v>1334</v>
      </c>
      <c r="M40" s="74">
        <f t="shared" si="9"/>
        <v>612.39055472263863</v>
      </c>
      <c r="N40" s="74">
        <f t="shared" si="9"/>
        <v>20.58</v>
      </c>
      <c r="O40" s="74">
        <f t="shared" si="9"/>
        <v>29.756586721216649</v>
      </c>
      <c r="P40" s="74">
        <f t="shared" si="10"/>
        <v>27.453719999999997</v>
      </c>
      <c r="Q40" s="74">
        <f>O40*Deflator!$Y$5</f>
        <v>34.30547242034595</v>
      </c>
      <c r="R40" s="74">
        <f>Q40</f>
        <v>34.30547242034595</v>
      </c>
    </row>
    <row r="41" spans="1:23" x14ac:dyDescent="0.25">
      <c r="A41" s="68" t="str">
        <f t="shared" ref="A41:A72" si="11">B41&amp;C41</f>
        <v>Rand '0001229749</v>
      </c>
      <c r="B41" s="68" t="s">
        <v>401</v>
      </c>
      <c r="C41" s="68">
        <v>1229749</v>
      </c>
      <c r="D41" s="68" t="s">
        <v>420</v>
      </c>
      <c r="F41" s="68" t="s">
        <v>462</v>
      </c>
      <c r="G41" s="68">
        <v>85</v>
      </c>
      <c r="H41" s="68" t="s">
        <v>397</v>
      </c>
      <c r="I41" s="68" t="s">
        <v>403</v>
      </c>
      <c r="J41" s="68" t="s">
        <v>409</v>
      </c>
      <c r="K41" s="68" t="s">
        <v>461</v>
      </c>
      <c r="L41" s="74">
        <f t="shared" si="9"/>
        <v>4843</v>
      </c>
      <c r="M41" s="74">
        <f t="shared" si="9"/>
        <v>592.04790419161679</v>
      </c>
      <c r="N41" s="74">
        <f t="shared" si="9"/>
        <v>20.64</v>
      </c>
      <c r="O41" s="74">
        <f t="shared" si="9"/>
        <v>28.684491482151977</v>
      </c>
      <c r="P41" s="74">
        <f t="shared" si="10"/>
        <v>99.959519999999998</v>
      </c>
      <c r="Q41" s="74">
        <f>O41*Deflator!$Y$5</f>
        <v>33.069486115858489</v>
      </c>
      <c r="R41" s="74">
        <f>Q41</f>
        <v>33.069486115858489</v>
      </c>
    </row>
    <row r="42" spans="1:23" x14ac:dyDescent="0.25">
      <c r="A42" s="68" t="str">
        <f t="shared" si="11"/>
        <v>rands/ton208.608821034775</v>
      </c>
      <c r="B42" s="68" t="s">
        <v>400</v>
      </c>
      <c r="C42" s="73">
        <f>C41/C40</f>
        <v>208.60882103477525</v>
      </c>
      <c r="D42" s="68" t="s">
        <v>420</v>
      </c>
      <c r="F42" s="68" t="s">
        <v>460</v>
      </c>
      <c r="G42" s="68">
        <v>25</v>
      </c>
      <c r="H42" s="68" t="s">
        <v>423</v>
      </c>
      <c r="I42" s="68" t="s">
        <v>459</v>
      </c>
      <c r="J42" s="68" t="s">
        <v>455</v>
      </c>
      <c r="K42" s="68" t="s">
        <v>458</v>
      </c>
      <c r="L42" s="74">
        <f t="shared" si="9"/>
        <v>10290</v>
      </c>
      <c r="M42" s="74">
        <f t="shared" si="9"/>
        <v>458</v>
      </c>
      <c r="N42" s="74">
        <f t="shared" si="9"/>
        <v>18.48</v>
      </c>
      <c r="O42" s="75">
        <f t="shared" si="9"/>
        <v>24.783549783549784</v>
      </c>
      <c r="P42" s="74">
        <f t="shared" si="10"/>
        <v>190.1592</v>
      </c>
      <c r="Q42" s="74">
        <f>O42*Deflator!$Y$5</f>
        <v>28.572207946539496</v>
      </c>
      <c r="R42" s="73">
        <v>17.560728744939269</v>
      </c>
      <c r="T42" s="68" t="s">
        <v>457</v>
      </c>
    </row>
    <row r="43" spans="1:23" x14ac:dyDescent="0.25">
      <c r="A43" s="68" t="str">
        <f t="shared" si="11"/>
        <v>CV as received20.78</v>
      </c>
      <c r="B43" s="68" t="s">
        <v>399</v>
      </c>
      <c r="C43" s="68">
        <v>20.78</v>
      </c>
      <c r="D43" s="68" t="s">
        <v>420</v>
      </c>
      <c r="F43" s="68" t="s">
        <v>456</v>
      </c>
      <c r="G43" s="68">
        <v>67</v>
      </c>
      <c r="H43" s="68" t="s">
        <v>397</v>
      </c>
      <c r="I43" s="68" t="s">
        <v>403</v>
      </c>
      <c r="J43" s="68" t="s">
        <v>455</v>
      </c>
      <c r="K43" s="68" t="s">
        <v>454</v>
      </c>
      <c r="L43" s="74">
        <f t="shared" si="9"/>
        <v>3993</v>
      </c>
      <c r="M43" s="74">
        <f t="shared" si="9"/>
        <v>428.62734785875284</v>
      </c>
      <c r="N43" s="74">
        <f t="shared" si="9"/>
        <v>18.48</v>
      </c>
      <c r="O43" s="75">
        <f t="shared" si="9"/>
        <v>23.194120555127316</v>
      </c>
      <c r="P43" s="74">
        <f t="shared" si="10"/>
        <v>73.790639999999996</v>
      </c>
      <c r="Q43" s="74">
        <f>O43*Deflator!$Y$5</f>
        <v>26.739802870292589</v>
      </c>
      <c r="R43" s="74">
        <f>Q43</f>
        <v>26.739802870292589</v>
      </c>
    </row>
    <row r="44" spans="1:23" x14ac:dyDescent="0.25">
      <c r="A44" s="68" t="str">
        <f t="shared" si="11"/>
        <v>Rand/GJ10.0389230526841</v>
      </c>
      <c r="B44" s="68" t="s">
        <v>398</v>
      </c>
      <c r="C44" s="73">
        <f>C42/C43</f>
        <v>10.038923052684083</v>
      </c>
      <c r="D44" s="68" t="s">
        <v>420</v>
      </c>
      <c r="F44" s="68" t="s">
        <v>453</v>
      </c>
      <c r="G44" s="68">
        <v>103</v>
      </c>
      <c r="H44" s="68" t="s">
        <v>397</v>
      </c>
      <c r="I44" s="68" t="s">
        <v>403</v>
      </c>
      <c r="J44" s="68" t="s">
        <v>406</v>
      </c>
      <c r="K44" s="68" t="s">
        <v>452</v>
      </c>
      <c r="L44" s="74">
        <f t="shared" si="9"/>
        <v>1265</v>
      </c>
      <c r="M44" s="74">
        <f t="shared" si="9"/>
        <v>682.33043478260868</v>
      </c>
      <c r="N44" s="74">
        <f t="shared" si="9"/>
        <v>19.68</v>
      </c>
      <c r="O44" s="74">
        <f t="shared" si="9"/>
        <v>34.671261930010601</v>
      </c>
      <c r="P44" s="74">
        <f t="shared" si="10"/>
        <v>24.895199999999999</v>
      </c>
      <c r="Q44" s="74">
        <f>O44*Deflator!$Y$5</f>
        <v>39.971453415068908</v>
      </c>
      <c r="R44" s="74">
        <f>Q44</f>
        <v>39.971453415068908</v>
      </c>
    </row>
    <row r="45" spans="1:23" x14ac:dyDescent="0.25">
      <c r="A45" s="68" t="str">
        <f t="shared" si="11"/>
        <v xml:space="preserve">MatimbaExxaro </v>
      </c>
      <c r="B45" s="69" t="s">
        <v>434</v>
      </c>
      <c r="C45" s="69" t="s">
        <v>435</v>
      </c>
      <c r="D45" s="68" t="s">
        <v>420</v>
      </c>
      <c r="F45" s="68" t="s">
        <v>451</v>
      </c>
      <c r="G45" s="68">
        <v>1</v>
      </c>
      <c r="H45" s="68" t="s">
        <v>423</v>
      </c>
      <c r="I45" s="68" t="s">
        <v>450</v>
      </c>
      <c r="J45" s="68" t="s">
        <v>410</v>
      </c>
      <c r="K45" s="68" t="s">
        <v>449</v>
      </c>
      <c r="L45" s="74">
        <f t="shared" si="9"/>
        <v>4573</v>
      </c>
      <c r="M45" s="74">
        <f t="shared" si="9"/>
        <v>647</v>
      </c>
      <c r="N45" s="74">
        <f t="shared" si="9"/>
        <v>20.94</v>
      </c>
      <c r="O45" s="74">
        <f t="shared" si="9"/>
        <v>30.897803247373446</v>
      </c>
      <c r="P45" s="74">
        <f t="shared" si="10"/>
        <v>95.758620000000008</v>
      </c>
      <c r="Q45" s="74">
        <f>O45*Deflator!$Y$5</f>
        <v>35.621146574458557</v>
      </c>
      <c r="R45" s="74">
        <f>Q45</f>
        <v>35.621146574458557</v>
      </c>
    </row>
    <row r="46" spans="1:23" x14ac:dyDescent="0.25">
      <c r="A46" s="68" t="str">
        <f t="shared" si="11"/>
        <v>Ktons14425</v>
      </c>
      <c r="B46" s="68" t="s">
        <v>402</v>
      </c>
      <c r="C46" s="68">
        <v>14425</v>
      </c>
      <c r="D46" s="68" t="s">
        <v>420</v>
      </c>
      <c r="F46" s="68" t="s">
        <v>448</v>
      </c>
      <c r="G46" s="68">
        <v>79</v>
      </c>
      <c r="H46" s="68" t="s">
        <v>397</v>
      </c>
      <c r="I46" s="68" t="s">
        <v>403</v>
      </c>
      <c r="J46" s="68" t="s">
        <v>410</v>
      </c>
      <c r="K46" s="68" t="s">
        <v>447</v>
      </c>
      <c r="L46" s="74">
        <f t="shared" si="9"/>
        <v>2559</v>
      </c>
      <c r="M46" s="74">
        <f t="shared" si="9"/>
        <v>511.4591637358343</v>
      </c>
      <c r="N46" s="74">
        <f t="shared" si="9"/>
        <v>20.94</v>
      </c>
      <c r="O46" s="74">
        <f t="shared" si="9"/>
        <v>24.424983941539363</v>
      </c>
      <c r="P46" s="74">
        <f t="shared" si="10"/>
        <v>53.585460000000005</v>
      </c>
      <c r="Q46" s="74">
        <f>O46*Deflator!$Y$5</f>
        <v>28.158828189001778</v>
      </c>
      <c r="R46" s="74">
        <f>Q46</f>
        <v>28.158828189001778</v>
      </c>
      <c r="U46" s="69"/>
    </row>
    <row r="47" spans="1:23" x14ac:dyDescent="0.25">
      <c r="A47" s="68" t="str">
        <f t="shared" si="11"/>
        <v>Rand '0004709451</v>
      </c>
      <c r="B47" s="68" t="s">
        <v>401</v>
      </c>
      <c r="C47" s="68">
        <v>4709451</v>
      </c>
      <c r="D47" s="68" t="s">
        <v>420</v>
      </c>
      <c r="I47" s="68" t="s">
        <v>446</v>
      </c>
      <c r="J47" s="68" t="s">
        <v>404</v>
      </c>
      <c r="K47" s="68" t="s">
        <v>212</v>
      </c>
      <c r="N47" s="68">
        <v>19.5</v>
      </c>
      <c r="P47" s="74">
        <v>156</v>
      </c>
      <c r="Q47" s="74">
        <f>O47*Deflator!$Y$5</f>
        <v>0</v>
      </c>
      <c r="R47" s="74">
        <f>16.05*Deflator!AB3</f>
        <v>22.566299999999998</v>
      </c>
      <c r="T47" s="68" t="s">
        <v>445</v>
      </c>
      <c r="V47" s="68">
        <f>-PMT(10%,30,20)/11*1000</f>
        <v>192.87136045933443</v>
      </c>
      <c r="W47" s="68">
        <f>V47/N47</f>
        <v>9.8908389979145852</v>
      </c>
    </row>
    <row r="48" spans="1:23" x14ac:dyDescent="0.25">
      <c r="A48" s="68" t="str">
        <f t="shared" si="11"/>
        <v>rands/ton326.478405545927</v>
      </c>
      <c r="B48" s="68" t="s">
        <v>400</v>
      </c>
      <c r="C48" s="73">
        <f>C47/C46</f>
        <v>326.47840554592722</v>
      </c>
      <c r="D48" s="68" t="s">
        <v>420</v>
      </c>
      <c r="F48" s="68" t="s">
        <v>444</v>
      </c>
      <c r="G48" s="68">
        <v>115</v>
      </c>
      <c r="H48" s="68" t="s">
        <v>397</v>
      </c>
      <c r="I48" s="68" t="s">
        <v>403</v>
      </c>
      <c r="J48" s="68" t="s">
        <v>404</v>
      </c>
      <c r="K48" s="68" t="s">
        <v>443</v>
      </c>
      <c r="L48" s="74">
        <f t="shared" ref="L48:O56" si="12">INDEX($C$9:$C$128,$G48+K$7)</f>
        <v>2158</v>
      </c>
      <c r="M48" s="74">
        <f t="shared" si="12"/>
        <v>552.52594995366076</v>
      </c>
      <c r="N48" s="74">
        <f t="shared" si="12"/>
        <v>17.53</v>
      </c>
      <c r="O48" s="74">
        <f t="shared" si="12"/>
        <v>31.518879061817497</v>
      </c>
      <c r="P48" s="74">
        <f t="shared" ref="P48:P56" si="13">L48*N48/1000</f>
        <v>37.829740000000008</v>
      </c>
      <c r="Q48" s="74">
        <f>O48*Deflator!$Y$5</f>
        <v>36.337166171160575</v>
      </c>
      <c r="R48" s="74">
        <f>Q48</f>
        <v>36.337166171160575</v>
      </c>
    </row>
    <row r="49" spans="1:20" x14ac:dyDescent="0.25">
      <c r="A49" s="68" t="str">
        <f t="shared" si="11"/>
        <v>CV as received18.69</v>
      </c>
      <c r="B49" s="68" t="s">
        <v>399</v>
      </c>
      <c r="C49" s="68">
        <v>18.690000000000001</v>
      </c>
      <c r="D49" s="68" t="s">
        <v>420</v>
      </c>
      <c r="F49" s="68" t="s">
        <v>442</v>
      </c>
      <c r="G49" s="68">
        <v>7</v>
      </c>
      <c r="H49" s="68" t="s">
        <v>423</v>
      </c>
      <c r="I49" s="68" t="s">
        <v>422</v>
      </c>
      <c r="J49" s="68" t="s">
        <v>441</v>
      </c>
      <c r="K49" s="68" t="s">
        <v>440</v>
      </c>
      <c r="L49" s="74">
        <f t="shared" si="12"/>
        <v>14790</v>
      </c>
      <c r="M49" s="74">
        <f t="shared" si="12"/>
        <v>222</v>
      </c>
      <c r="N49" s="74">
        <f t="shared" si="12"/>
        <v>15.4</v>
      </c>
      <c r="O49" s="74">
        <f t="shared" si="12"/>
        <v>14.415584415584416</v>
      </c>
      <c r="P49" s="74">
        <f t="shared" si="13"/>
        <v>227.76599999999999</v>
      </c>
      <c r="Q49" s="74">
        <f>O49*Deflator!$Y$5</f>
        <v>16.619293006458783</v>
      </c>
      <c r="R49" s="74">
        <f>Q49</f>
        <v>16.619293006458783</v>
      </c>
    </row>
    <row r="50" spans="1:20" x14ac:dyDescent="0.25">
      <c r="A50" s="68" t="str">
        <f t="shared" si="11"/>
        <v>Rand/GJ17.4680794834632</v>
      </c>
      <c r="B50" s="68" t="s">
        <v>398</v>
      </c>
      <c r="C50" s="68">
        <f>C48/C49</f>
        <v>17.4680794834632</v>
      </c>
      <c r="D50" s="68" t="s">
        <v>420</v>
      </c>
      <c r="F50" s="68" t="s">
        <v>439</v>
      </c>
      <c r="G50" s="68">
        <v>97</v>
      </c>
      <c r="H50" s="68" t="s">
        <v>397</v>
      </c>
      <c r="I50" s="68" t="s">
        <v>403</v>
      </c>
      <c r="J50" s="68" t="s">
        <v>407</v>
      </c>
      <c r="K50" s="68" t="s">
        <v>438</v>
      </c>
      <c r="L50" s="74">
        <f t="shared" si="12"/>
        <v>14509</v>
      </c>
      <c r="M50" s="74">
        <f t="shared" si="12"/>
        <v>598.09111585912194</v>
      </c>
      <c r="N50" s="74">
        <f t="shared" si="12"/>
        <v>18.62</v>
      </c>
      <c r="O50" s="75">
        <f t="shared" si="12"/>
        <v>32.120897736794944</v>
      </c>
      <c r="P50" s="74">
        <f t="shared" si="13"/>
        <v>270.15758</v>
      </c>
      <c r="Q50" s="74">
        <f>O50*Deflator!$Y$5</f>
        <v>37.03121536586363</v>
      </c>
      <c r="R50" s="73">
        <f>Q57</f>
        <v>26.648823894447183</v>
      </c>
      <c r="T50" s="68" t="s">
        <v>437</v>
      </c>
    </row>
    <row r="51" spans="1:20" x14ac:dyDescent="0.25">
      <c r="A51" s="68" t="str">
        <f t="shared" si="11"/>
        <v>MedupiExxaro</v>
      </c>
      <c r="B51" s="69" t="s">
        <v>426</v>
      </c>
      <c r="C51" s="69" t="s">
        <v>427</v>
      </c>
      <c r="D51" s="68" t="s">
        <v>420</v>
      </c>
      <c r="F51" s="68" t="s">
        <v>436</v>
      </c>
      <c r="G51" s="68">
        <v>37</v>
      </c>
      <c r="H51" s="68" t="s">
        <v>420</v>
      </c>
      <c r="I51" s="68" t="s">
        <v>435</v>
      </c>
      <c r="J51" s="68" t="s">
        <v>434</v>
      </c>
      <c r="K51" s="68" t="s">
        <v>433</v>
      </c>
      <c r="L51" s="74">
        <f t="shared" si="12"/>
        <v>14425</v>
      </c>
      <c r="M51" s="74">
        <f t="shared" si="12"/>
        <v>326.47840554592722</v>
      </c>
      <c r="N51" s="74">
        <f t="shared" si="12"/>
        <v>18.690000000000001</v>
      </c>
      <c r="O51" s="74">
        <f t="shared" si="12"/>
        <v>17.4680794834632</v>
      </c>
      <c r="P51" s="74">
        <f t="shared" si="13"/>
        <v>269.60325</v>
      </c>
      <c r="Q51" s="74">
        <f>O51*Deflator!$Y$5</f>
        <v>20.138422614482458</v>
      </c>
      <c r="R51" s="74">
        <f t="shared" ref="R51:R56" si="14">Q51</f>
        <v>20.138422614482458</v>
      </c>
    </row>
    <row r="52" spans="1:20" x14ac:dyDescent="0.25">
      <c r="A52" s="68" t="str">
        <f t="shared" si="11"/>
        <v>Ktons9539</v>
      </c>
      <c r="B52" s="68" t="s">
        <v>402</v>
      </c>
      <c r="C52" s="68">
        <v>9539</v>
      </c>
      <c r="D52" s="68" t="s">
        <v>420</v>
      </c>
      <c r="F52" s="68" t="s">
        <v>432</v>
      </c>
      <c r="G52" s="68">
        <v>19</v>
      </c>
      <c r="H52" s="68" t="s">
        <v>423</v>
      </c>
      <c r="I52" s="68" t="s">
        <v>427</v>
      </c>
      <c r="J52" s="68" t="s">
        <v>413</v>
      </c>
      <c r="K52" s="68" t="s">
        <v>431</v>
      </c>
      <c r="L52" s="74">
        <f t="shared" si="12"/>
        <v>5887</v>
      </c>
      <c r="M52" s="74">
        <f t="shared" si="12"/>
        <v>633</v>
      </c>
      <c r="N52" s="74">
        <f t="shared" si="12"/>
        <v>19.809999999999999</v>
      </c>
      <c r="O52" s="74">
        <f t="shared" si="12"/>
        <v>31.953558808682487</v>
      </c>
      <c r="P52" s="74">
        <f t="shared" si="13"/>
        <v>116.62146999999999</v>
      </c>
      <c r="Q52" s="74">
        <f>O52*Deflator!$Y$5</f>
        <v>36.838295356690701</v>
      </c>
      <c r="R52" s="74">
        <f t="shared" si="14"/>
        <v>36.838295356690701</v>
      </c>
    </row>
    <row r="53" spans="1:20" x14ac:dyDescent="0.25">
      <c r="A53" s="68" t="str">
        <f t="shared" si="11"/>
        <v>Rand '0003812228</v>
      </c>
      <c r="B53" s="68" t="s">
        <v>401</v>
      </c>
      <c r="C53" s="68">
        <v>3812228</v>
      </c>
      <c r="D53" s="68" t="s">
        <v>420</v>
      </c>
      <c r="F53" s="68" t="s">
        <v>430</v>
      </c>
      <c r="G53" s="68">
        <v>61</v>
      </c>
      <c r="H53" s="68" t="s">
        <v>397</v>
      </c>
      <c r="I53" s="68" t="s">
        <v>403</v>
      </c>
      <c r="J53" s="68" t="s">
        <v>413</v>
      </c>
      <c r="K53" s="68" t="s">
        <v>429</v>
      </c>
      <c r="L53" s="74">
        <f t="shared" si="12"/>
        <v>3538</v>
      </c>
      <c r="M53" s="74">
        <f t="shared" si="12"/>
        <v>541.82221594120972</v>
      </c>
      <c r="N53" s="74">
        <f t="shared" si="12"/>
        <v>19.809999999999999</v>
      </c>
      <c r="O53" s="74">
        <f t="shared" si="12"/>
        <v>27.350944772398272</v>
      </c>
      <c r="P53" s="74">
        <f t="shared" si="13"/>
        <v>70.087779999999995</v>
      </c>
      <c r="Q53" s="74">
        <f>O53*Deflator!$Y$5</f>
        <v>31.532080286980936</v>
      </c>
      <c r="R53" s="74">
        <f t="shared" si="14"/>
        <v>31.532080286980936</v>
      </c>
    </row>
    <row r="54" spans="1:20" x14ac:dyDescent="0.25">
      <c r="A54" s="68" t="str">
        <f t="shared" si="11"/>
        <v>rands/ton399.646503826397</v>
      </c>
      <c r="B54" s="68" t="s">
        <v>400</v>
      </c>
      <c r="C54" s="68">
        <f>C53/C52</f>
        <v>399.64650382639689</v>
      </c>
      <c r="D54" s="68" t="s">
        <v>420</v>
      </c>
      <c r="F54" s="68" t="s">
        <v>428</v>
      </c>
      <c r="G54" s="68">
        <v>43</v>
      </c>
      <c r="H54" s="68" t="s">
        <v>420</v>
      </c>
      <c r="I54" s="68" t="s">
        <v>427</v>
      </c>
      <c r="J54" s="68" t="s">
        <v>426</v>
      </c>
      <c r="K54" s="68" t="s">
        <v>425</v>
      </c>
      <c r="L54" s="74">
        <f t="shared" si="12"/>
        <v>9539</v>
      </c>
      <c r="M54" s="74">
        <f t="shared" si="12"/>
        <v>399.64650382639689</v>
      </c>
      <c r="N54" s="74">
        <f t="shared" si="12"/>
        <v>18.690000000000001</v>
      </c>
      <c r="O54" s="74">
        <f t="shared" si="12"/>
        <v>21.382905501679875</v>
      </c>
      <c r="P54" s="74">
        <f t="shared" si="13"/>
        <v>178.28390999999999</v>
      </c>
      <c r="Q54" s="74">
        <f>O54*Deflator!$Y$5</f>
        <v>24.651707597622952</v>
      </c>
      <c r="R54" s="74">
        <f t="shared" si="14"/>
        <v>24.651707597622952</v>
      </c>
    </row>
    <row r="55" spans="1:20" x14ac:dyDescent="0.25">
      <c r="A55" s="68" t="str">
        <f t="shared" si="11"/>
        <v>CV as received18.69</v>
      </c>
      <c r="B55" s="68" t="s">
        <v>399</v>
      </c>
      <c r="C55" s="68">
        <v>18.690000000000001</v>
      </c>
      <c r="D55" s="68" t="s">
        <v>420</v>
      </c>
      <c r="F55" s="68" t="s">
        <v>424</v>
      </c>
      <c r="G55" s="68">
        <v>13</v>
      </c>
      <c r="H55" s="68" t="s">
        <v>423</v>
      </c>
      <c r="I55" s="68" t="s">
        <v>422</v>
      </c>
      <c r="J55" s="68" t="s">
        <v>418</v>
      </c>
      <c r="K55" s="68" t="s">
        <v>421</v>
      </c>
      <c r="L55" s="74">
        <f t="shared" si="12"/>
        <v>3591</v>
      </c>
      <c r="M55" s="74">
        <f t="shared" si="12"/>
        <v>708</v>
      </c>
      <c r="N55" s="74">
        <f t="shared" si="12"/>
        <v>20.350000000000001</v>
      </c>
      <c r="O55" s="74">
        <f t="shared" si="12"/>
        <v>34.791154791154788</v>
      </c>
      <c r="P55" s="74">
        <f t="shared" si="13"/>
        <v>73.076850000000007</v>
      </c>
      <c r="Q55" s="74">
        <f>O55*Deflator!$Y$5</f>
        <v>40.109674282936311</v>
      </c>
      <c r="R55" s="74">
        <f t="shared" si="14"/>
        <v>40.109674282936311</v>
      </c>
    </row>
    <row r="56" spans="1:20" x14ac:dyDescent="0.25">
      <c r="A56" s="68" t="str">
        <f t="shared" si="11"/>
        <v>Rand/GJ21.3829055016799</v>
      </c>
      <c r="B56" s="68" t="s">
        <v>398</v>
      </c>
      <c r="C56" s="68">
        <f>C54/C55</f>
        <v>21.382905501679875</v>
      </c>
      <c r="D56" s="68" t="s">
        <v>420</v>
      </c>
      <c r="F56" s="68" t="s">
        <v>419</v>
      </c>
      <c r="G56" s="68">
        <v>55</v>
      </c>
      <c r="H56" s="68" t="s">
        <v>397</v>
      </c>
      <c r="I56" s="68" t="s">
        <v>403</v>
      </c>
      <c r="J56" s="68" t="s">
        <v>418</v>
      </c>
      <c r="K56" s="68" t="s">
        <v>417</v>
      </c>
      <c r="L56" s="74">
        <f t="shared" si="12"/>
        <v>5417</v>
      </c>
      <c r="M56" s="74">
        <f t="shared" si="12"/>
        <v>623.52409082518</v>
      </c>
      <c r="N56" s="74">
        <f t="shared" si="12"/>
        <v>20.350000000000001</v>
      </c>
      <c r="O56" s="74">
        <f t="shared" si="12"/>
        <v>30.640004463153804</v>
      </c>
      <c r="P56" s="74">
        <f t="shared" si="13"/>
        <v>110.23595000000002</v>
      </c>
      <c r="Q56" s="74">
        <f>O56*Deflator!$Y$5</f>
        <v>35.32393812226266</v>
      </c>
      <c r="R56" s="74">
        <f t="shared" si="14"/>
        <v>35.32393812226266</v>
      </c>
    </row>
    <row r="57" spans="1:20" x14ac:dyDescent="0.25">
      <c r="A57" s="68" t="str">
        <f t="shared" si="11"/>
        <v>Arnotvarious</v>
      </c>
      <c r="B57" s="69" t="s">
        <v>416</v>
      </c>
      <c r="C57" s="69" t="s">
        <v>403</v>
      </c>
      <c r="D57" s="68" t="s">
        <v>397</v>
      </c>
      <c r="L57" s="68" t="s">
        <v>1899</v>
      </c>
      <c r="M57" s="68">
        <f>SUMPRODUCT(M36:M56,$P36:$P56)/SUM($P36:$P56)</f>
        <v>443.6024416051435</v>
      </c>
      <c r="N57" s="68">
        <f>SUMPRODUCT(N36:N56,$P36:$P56)/SUM($P36:$P56)</f>
        <v>19.046388809975049</v>
      </c>
      <c r="O57" s="73">
        <f>SUMPRODUCT(O36:O56,$P36:$P56)/SUM($P36:$P56)</f>
        <v>23.115205338587526</v>
      </c>
      <c r="P57" s="74">
        <f>SUM(P36:P56)</f>
        <v>2404.2044700000001</v>
      </c>
      <c r="Q57" s="73">
        <f>SUMPRODUCT(Q36:Q56,$P36:$P56)/SUM($P36:$P56)</f>
        <v>26.648823894447183</v>
      </c>
    </row>
    <row r="58" spans="1:20" x14ac:dyDescent="0.25">
      <c r="A58" s="68" t="str">
        <f t="shared" si="11"/>
        <v>Ktons5858</v>
      </c>
      <c r="B58" s="68" t="s">
        <v>402</v>
      </c>
      <c r="C58" s="68">
        <v>5858</v>
      </c>
      <c r="D58" s="68" t="s">
        <v>397</v>
      </c>
      <c r="L58" s="68" t="s">
        <v>1900</v>
      </c>
      <c r="M58" s="68">
        <f>M57*0.918</f>
        <v>407.22704139352174</v>
      </c>
      <c r="O58" s="68">
        <f>O57*0.918</f>
        <v>21.21975850082335</v>
      </c>
    </row>
    <row r="59" spans="1:20" x14ac:dyDescent="0.25">
      <c r="A59" s="68" t="str">
        <f t="shared" si="11"/>
        <v>Rand '0003113714</v>
      </c>
      <c r="B59" s="68" t="s">
        <v>401</v>
      </c>
      <c r="C59" s="68">
        <v>3113714</v>
      </c>
      <c r="D59" s="68" t="s">
        <v>397</v>
      </c>
      <c r="L59" s="68" t="s">
        <v>1901</v>
      </c>
      <c r="M59" s="68">
        <f>M57*0.82</f>
        <v>363.75400211621763</v>
      </c>
      <c r="O59" s="68">
        <f>O57*0.82</f>
        <v>18.954468377641771</v>
      </c>
    </row>
    <row r="60" spans="1:20" x14ac:dyDescent="0.25">
      <c r="A60" s="68" t="str">
        <f t="shared" si="11"/>
        <v>rands/ton531.531922157733</v>
      </c>
      <c r="B60" s="68" t="s">
        <v>400</v>
      </c>
      <c r="C60" s="68">
        <f>C59/C58</f>
        <v>531.53192215773299</v>
      </c>
      <c r="D60" s="68" t="s">
        <v>397</v>
      </c>
      <c r="Q60" s="68" t="s">
        <v>415</v>
      </c>
    </row>
    <row r="61" spans="1:20" x14ac:dyDescent="0.25">
      <c r="A61" s="68" t="str">
        <f t="shared" si="11"/>
        <v>CV as received20.52</v>
      </c>
      <c r="B61" s="68" t="s">
        <v>399</v>
      </c>
      <c r="C61" s="68">
        <v>20.52</v>
      </c>
      <c r="D61" s="68" t="s">
        <v>397</v>
      </c>
      <c r="Q61" s="72">
        <v>0.4</v>
      </c>
    </row>
    <row r="62" spans="1:20" x14ac:dyDescent="0.25">
      <c r="A62" s="68" t="str">
        <f t="shared" si="11"/>
        <v>Rand/GJ25.9031151148993</v>
      </c>
      <c r="B62" s="68" t="s">
        <v>398</v>
      </c>
      <c r="C62" s="68">
        <f>C60/C61</f>
        <v>25.903115114899268</v>
      </c>
      <c r="D62" s="68" t="s">
        <v>397</v>
      </c>
    </row>
    <row r="63" spans="1:20" x14ac:dyDescent="0.25">
      <c r="A63" s="68" t="str">
        <f t="shared" si="11"/>
        <v>Tutuka various</v>
      </c>
      <c r="B63" s="69" t="s">
        <v>414</v>
      </c>
      <c r="C63" s="69" t="s">
        <v>403</v>
      </c>
      <c r="D63" s="68" t="s">
        <v>397</v>
      </c>
    </row>
    <row r="64" spans="1:20" x14ac:dyDescent="0.25">
      <c r="A64" s="68" t="str">
        <f t="shared" si="11"/>
        <v>Ktons5417</v>
      </c>
      <c r="B64" s="68" t="s">
        <v>402</v>
      </c>
      <c r="C64" s="68">
        <v>5417</v>
      </c>
      <c r="D64" s="68" t="s">
        <v>397</v>
      </c>
    </row>
    <row r="65" spans="1:4" x14ac:dyDescent="0.25">
      <c r="A65" s="68" t="str">
        <f t="shared" si="11"/>
        <v>Rand '0003377630</v>
      </c>
      <c r="B65" s="68" t="s">
        <v>401</v>
      </c>
      <c r="C65" s="68">
        <v>3377630</v>
      </c>
      <c r="D65" s="68" t="s">
        <v>397</v>
      </c>
    </row>
    <row r="66" spans="1:4" x14ac:dyDescent="0.25">
      <c r="A66" s="68" t="str">
        <f t="shared" si="11"/>
        <v>rands/ton623.52409082518</v>
      </c>
      <c r="B66" s="68" t="s">
        <v>400</v>
      </c>
      <c r="C66" s="68">
        <f>C65/C64</f>
        <v>623.52409082518</v>
      </c>
      <c r="D66" s="68" t="s">
        <v>397</v>
      </c>
    </row>
    <row r="67" spans="1:4" x14ac:dyDescent="0.25">
      <c r="A67" s="68" t="str">
        <f t="shared" si="11"/>
        <v>CV as received20.35</v>
      </c>
      <c r="B67" s="68" t="s">
        <v>399</v>
      </c>
      <c r="C67" s="68">
        <v>20.350000000000001</v>
      </c>
      <c r="D67" s="68" t="s">
        <v>397</v>
      </c>
    </row>
    <row r="68" spans="1:4" x14ac:dyDescent="0.25">
      <c r="A68" s="68" t="str">
        <f t="shared" si="11"/>
        <v>Rand/GJ30.6400044631538</v>
      </c>
      <c r="B68" s="68" t="s">
        <v>398</v>
      </c>
      <c r="C68" s="68">
        <f>C66/C67</f>
        <v>30.640004463153804</v>
      </c>
      <c r="D68" s="68" t="s">
        <v>397</v>
      </c>
    </row>
    <row r="69" spans="1:4" x14ac:dyDescent="0.25">
      <c r="A69" s="68" t="str">
        <f t="shared" si="11"/>
        <v>Matlavarious</v>
      </c>
      <c r="B69" s="69" t="s">
        <v>413</v>
      </c>
      <c r="C69" s="69" t="s">
        <v>403</v>
      </c>
      <c r="D69" s="68" t="s">
        <v>397</v>
      </c>
    </row>
    <row r="70" spans="1:4" x14ac:dyDescent="0.25">
      <c r="A70" s="68" t="str">
        <f t="shared" si="11"/>
        <v>Ktons3538</v>
      </c>
      <c r="B70" s="68" t="s">
        <v>402</v>
      </c>
      <c r="C70" s="68">
        <v>3538</v>
      </c>
      <c r="D70" s="68" t="s">
        <v>397</v>
      </c>
    </row>
    <row r="71" spans="1:4" x14ac:dyDescent="0.25">
      <c r="A71" s="68" t="str">
        <f t="shared" si="11"/>
        <v>Rand '0001916967</v>
      </c>
      <c r="B71" s="68" t="s">
        <v>401</v>
      </c>
      <c r="C71" s="68">
        <v>1916967</v>
      </c>
      <c r="D71" s="68" t="s">
        <v>397</v>
      </c>
    </row>
    <row r="72" spans="1:4" x14ac:dyDescent="0.25">
      <c r="A72" s="68" t="str">
        <f t="shared" si="11"/>
        <v>rands/ton541.82221594121</v>
      </c>
      <c r="B72" s="68" t="s">
        <v>400</v>
      </c>
      <c r="C72" s="68">
        <f>C71/C70</f>
        <v>541.82221594120972</v>
      </c>
      <c r="D72" s="68" t="s">
        <v>397</v>
      </c>
    </row>
    <row r="73" spans="1:4" x14ac:dyDescent="0.25">
      <c r="A73" s="68" t="str">
        <f t="shared" ref="A73:A104" si="15">B73&amp;C73</f>
        <v>CV as received19.81</v>
      </c>
      <c r="B73" s="68" t="s">
        <v>399</v>
      </c>
      <c r="C73" s="68">
        <v>19.809999999999999</v>
      </c>
      <c r="D73" s="68" t="s">
        <v>397</v>
      </c>
    </row>
    <row r="74" spans="1:4" x14ac:dyDescent="0.25">
      <c r="A74" s="68" t="str">
        <f t="shared" si="15"/>
        <v>Rand/GJ27.3509447723983</v>
      </c>
      <c r="B74" s="68" t="s">
        <v>398</v>
      </c>
      <c r="C74" s="68">
        <f>C72/C73</f>
        <v>27.350944772398272</v>
      </c>
      <c r="D74" s="68" t="s">
        <v>397</v>
      </c>
    </row>
    <row r="75" spans="1:4" x14ac:dyDescent="0.25">
      <c r="A75" s="68" t="str">
        <f t="shared" si="15"/>
        <v>Kendal various</v>
      </c>
      <c r="B75" s="69" t="s">
        <v>412</v>
      </c>
      <c r="C75" s="69" t="s">
        <v>403</v>
      </c>
      <c r="D75" s="68" t="s">
        <v>397</v>
      </c>
    </row>
    <row r="76" spans="1:4" x14ac:dyDescent="0.25">
      <c r="A76" s="68" t="str">
        <f t="shared" si="15"/>
        <v>Ktons3993</v>
      </c>
      <c r="B76" s="68" t="s">
        <v>402</v>
      </c>
      <c r="C76" s="68">
        <v>3993</v>
      </c>
      <c r="D76" s="68" t="s">
        <v>397</v>
      </c>
    </row>
    <row r="77" spans="1:4" x14ac:dyDescent="0.25">
      <c r="A77" s="68" t="str">
        <f t="shared" si="15"/>
        <v>Rand '0001711509</v>
      </c>
      <c r="B77" s="68" t="s">
        <v>401</v>
      </c>
      <c r="C77" s="68">
        <v>1711509</v>
      </c>
      <c r="D77" s="68" t="s">
        <v>397</v>
      </c>
    </row>
    <row r="78" spans="1:4" x14ac:dyDescent="0.25">
      <c r="A78" s="68" t="str">
        <f t="shared" si="15"/>
        <v>rands/ton428.627347858753</v>
      </c>
      <c r="B78" s="68" t="s">
        <v>400</v>
      </c>
      <c r="C78" s="68">
        <f>C77/C76</f>
        <v>428.62734785875284</v>
      </c>
      <c r="D78" s="68" t="s">
        <v>397</v>
      </c>
    </row>
    <row r="79" spans="1:4" x14ac:dyDescent="0.25">
      <c r="A79" s="68" t="str">
        <f t="shared" si="15"/>
        <v>CV as received18.48</v>
      </c>
      <c r="B79" s="68" t="s">
        <v>399</v>
      </c>
      <c r="C79" s="68">
        <v>18.48</v>
      </c>
      <c r="D79" s="68" t="s">
        <v>397</v>
      </c>
    </row>
    <row r="80" spans="1:4" x14ac:dyDescent="0.25">
      <c r="A80" s="68" t="str">
        <f t="shared" si="15"/>
        <v>Rand/GJ23.1941205551273</v>
      </c>
      <c r="B80" s="68" t="s">
        <v>398</v>
      </c>
      <c r="C80" s="68">
        <f>C78/C79</f>
        <v>23.194120555127316</v>
      </c>
      <c r="D80" s="68" t="s">
        <v>397</v>
      </c>
    </row>
    <row r="81" spans="1:4" x14ac:dyDescent="0.25">
      <c r="A81" s="68" t="str">
        <f t="shared" si="15"/>
        <v>Camden various</v>
      </c>
      <c r="B81" s="69" t="s">
        <v>411</v>
      </c>
      <c r="C81" s="68" t="s">
        <v>403</v>
      </c>
      <c r="D81" s="68" t="s">
        <v>397</v>
      </c>
    </row>
    <row r="82" spans="1:4" x14ac:dyDescent="0.25">
      <c r="A82" s="68" t="str">
        <f t="shared" si="15"/>
        <v>Ktons4508</v>
      </c>
      <c r="B82" s="70" t="s">
        <v>402</v>
      </c>
      <c r="C82" s="68">
        <v>4508</v>
      </c>
      <c r="D82" s="68" t="s">
        <v>397</v>
      </c>
    </row>
    <row r="83" spans="1:4" x14ac:dyDescent="0.25">
      <c r="A83" s="68" t="str">
        <f t="shared" si="15"/>
        <v>Rand '0002713371</v>
      </c>
      <c r="B83" s="70" t="s">
        <v>401</v>
      </c>
      <c r="C83" s="68">
        <v>2713371</v>
      </c>
      <c r="D83" s="68" t="s">
        <v>397</v>
      </c>
    </row>
    <row r="84" spans="1:4" x14ac:dyDescent="0.25">
      <c r="A84" s="68" t="str">
        <f t="shared" si="15"/>
        <v>rands/ton601.901286601597</v>
      </c>
      <c r="B84" s="70" t="s">
        <v>400</v>
      </c>
      <c r="C84" s="68">
        <f>C83/C82</f>
        <v>601.90128660159712</v>
      </c>
      <c r="D84" s="68" t="s">
        <v>397</v>
      </c>
    </row>
    <row r="85" spans="1:4" x14ac:dyDescent="0.25">
      <c r="A85" s="68" t="str">
        <f t="shared" si="15"/>
        <v>CV as received18.65</v>
      </c>
      <c r="B85" s="70" t="s">
        <v>399</v>
      </c>
      <c r="C85" s="68">
        <v>18.649999999999999</v>
      </c>
      <c r="D85" s="68" t="s">
        <v>397</v>
      </c>
    </row>
    <row r="86" spans="1:4" x14ac:dyDescent="0.25">
      <c r="A86" s="68" t="str">
        <f t="shared" si="15"/>
        <v>Rand/GJ32.273527431721</v>
      </c>
      <c r="B86" s="70" t="s">
        <v>398</v>
      </c>
      <c r="C86" s="68">
        <f>C84/C85</f>
        <v>32.273527431721028</v>
      </c>
      <c r="D86" s="68" t="s">
        <v>397</v>
      </c>
    </row>
    <row r="87" spans="1:4" x14ac:dyDescent="0.25">
      <c r="A87" s="68" t="str">
        <f t="shared" si="15"/>
        <v>Krielvarious</v>
      </c>
      <c r="B87" s="69" t="s">
        <v>410</v>
      </c>
      <c r="C87" s="69" t="s">
        <v>403</v>
      </c>
      <c r="D87" s="68" t="s">
        <v>397</v>
      </c>
    </row>
    <row r="88" spans="1:4" x14ac:dyDescent="0.25">
      <c r="A88" s="68" t="str">
        <f t="shared" si="15"/>
        <v>Ktons2559</v>
      </c>
      <c r="B88" s="68" t="s">
        <v>402</v>
      </c>
      <c r="C88" s="68">
        <v>2559</v>
      </c>
      <c r="D88" s="68" t="s">
        <v>397</v>
      </c>
    </row>
    <row r="89" spans="1:4" x14ac:dyDescent="0.25">
      <c r="A89" s="68" t="str">
        <f t="shared" si="15"/>
        <v>Rand '0001308824</v>
      </c>
      <c r="B89" s="68" t="s">
        <v>401</v>
      </c>
      <c r="C89" s="68">
        <v>1308824</v>
      </c>
      <c r="D89" s="68" t="s">
        <v>397</v>
      </c>
    </row>
    <row r="90" spans="1:4" x14ac:dyDescent="0.25">
      <c r="A90" s="68" t="str">
        <f t="shared" si="15"/>
        <v>rands/ton511.459163735834</v>
      </c>
      <c r="B90" s="68" t="s">
        <v>400</v>
      </c>
      <c r="C90" s="68">
        <f>C89/C88</f>
        <v>511.4591637358343</v>
      </c>
      <c r="D90" s="68" t="s">
        <v>397</v>
      </c>
    </row>
    <row r="91" spans="1:4" x14ac:dyDescent="0.25">
      <c r="A91" s="68" t="str">
        <f t="shared" si="15"/>
        <v>CV as received20.94</v>
      </c>
      <c r="B91" s="68" t="s">
        <v>399</v>
      </c>
      <c r="C91" s="68">
        <v>20.94</v>
      </c>
      <c r="D91" s="68" t="s">
        <v>397</v>
      </c>
    </row>
    <row r="92" spans="1:4" x14ac:dyDescent="0.25">
      <c r="A92" s="68" t="str">
        <f t="shared" si="15"/>
        <v>Rand/GJ24.4249839415394</v>
      </c>
      <c r="B92" s="68" t="s">
        <v>398</v>
      </c>
      <c r="C92" s="68">
        <f>C90/C91</f>
        <v>24.424983941539363</v>
      </c>
      <c r="D92" s="68" t="s">
        <v>397</v>
      </c>
    </row>
    <row r="93" spans="1:4" x14ac:dyDescent="0.25">
      <c r="A93" s="68" t="str">
        <f t="shared" si="15"/>
        <v>Hendrinavarious</v>
      </c>
      <c r="B93" s="69" t="s">
        <v>409</v>
      </c>
      <c r="C93" s="69" t="s">
        <v>403</v>
      </c>
      <c r="D93" s="68" t="s">
        <v>397</v>
      </c>
    </row>
    <row r="94" spans="1:4" x14ac:dyDescent="0.25">
      <c r="A94" s="68" t="str">
        <f t="shared" si="15"/>
        <v>Ktons4843</v>
      </c>
      <c r="B94" s="68" t="s">
        <v>402</v>
      </c>
      <c r="C94" s="68">
        <v>4843</v>
      </c>
      <c r="D94" s="68" t="s">
        <v>397</v>
      </c>
    </row>
    <row r="95" spans="1:4" x14ac:dyDescent="0.25">
      <c r="A95" s="68" t="str">
        <f t="shared" si="15"/>
        <v>Rand '0002867288</v>
      </c>
      <c r="B95" s="68" t="s">
        <v>401</v>
      </c>
      <c r="C95" s="68">
        <v>2867288</v>
      </c>
      <c r="D95" s="68" t="s">
        <v>397</v>
      </c>
    </row>
    <row r="96" spans="1:4" x14ac:dyDescent="0.25">
      <c r="A96" s="68" t="str">
        <f t="shared" si="15"/>
        <v>rands/ton592.047904191617</v>
      </c>
      <c r="B96" s="68" t="s">
        <v>400</v>
      </c>
      <c r="C96" s="68">
        <f>C95/C94</f>
        <v>592.04790419161679</v>
      </c>
      <c r="D96" s="68" t="s">
        <v>397</v>
      </c>
    </row>
    <row r="97" spans="1:4" x14ac:dyDescent="0.25">
      <c r="A97" s="68" t="str">
        <f t="shared" si="15"/>
        <v>CV as received20.64</v>
      </c>
      <c r="B97" s="68" t="s">
        <v>399</v>
      </c>
      <c r="C97" s="68">
        <v>20.64</v>
      </c>
      <c r="D97" s="68" t="s">
        <v>397</v>
      </c>
    </row>
    <row r="98" spans="1:4" x14ac:dyDescent="0.25">
      <c r="A98" s="68" t="str">
        <f t="shared" si="15"/>
        <v>Rand/GJ28.684491482152</v>
      </c>
      <c r="B98" s="68" t="s">
        <v>398</v>
      </c>
      <c r="C98" s="68">
        <f>C96/C97</f>
        <v>28.684491482151977</v>
      </c>
      <c r="D98" s="68" t="s">
        <v>397</v>
      </c>
    </row>
    <row r="99" spans="1:4" x14ac:dyDescent="0.25">
      <c r="A99" s="68" t="str">
        <f t="shared" si="15"/>
        <v>duvhavarious</v>
      </c>
      <c r="B99" s="69" t="s">
        <v>408</v>
      </c>
      <c r="C99" s="69" t="s">
        <v>403</v>
      </c>
      <c r="D99" s="68" t="s">
        <v>397</v>
      </c>
    </row>
    <row r="100" spans="1:4" x14ac:dyDescent="0.25">
      <c r="A100" s="68" t="str">
        <f t="shared" si="15"/>
        <v>Ktons104</v>
      </c>
      <c r="B100" s="70" t="s">
        <v>402</v>
      </c>
      <c r="C100" s="68">
        <v>104</v>
      </c>
      <c r="D100" s="68" t="s">
        <v>397</v>
      </c>
    </row>
    <row r="101" spans="1:4" x14ac:dyDescent="0.25">
      <c r="A101" s="68" t="str">
        <f t="shared" si="15"/>
        <v>Rand '00038987</v>
      </c>
      <c r="B101" s="70" t="s">
        <v>401</v>
      </c>
      <c r="C101" s="68">
        <v>38987</v>
      </c>
      <c r="D101" s="68" t="s">
        <v>397</v>
      </c>
    </row>
    <row r="102" spans="1:4" x14ac:dyDescent="0.25">
      <c r="A102" s="68" t="str">
        <f t="shared" si="15"/>
        <v>rands/ton374.875</v>
      </c>
      <c r="B102" s="70" t="s">
        <v>400</v>
      </c>
      <c r="C102" s="68">
        <f>C101/C100</f>
        <v>374.875</v>
      </c>
      <c r="D102" s="68" t="s">
        <v>397</v>
      </c>
    </row>
    <row r="103" spans="1:4" x14ac:dyDescent="0.25">
      <c r="A103" s="68" t="str">
        <f t="shared" si="15"/>
        <v>CV as received20.78</v>
      </c>
      <c r="B103" s="70" t="s">
        <v>399</v>
      </c>
      <c r="C103" s="68">
        <v>20.78</v>
      </c>
      <c r="D103" s="68" t="s">
        <v>397</v>
      </c>
    </row>
    <row r="104" spans="1:4" x14ac:dyDescent="0.25">
      <c r="A104" s="68" t="str">
        <f t="shared" si="15"/>
        <v>Rand/GJ18.0401828681424</v>
      </c>
      <c r="B104" s="70" t="s">
        <v>398</v>
      </c>
      <c r="C104" s="68">
        <f>C102/C103</f>
        <v>18.040182868142445</v>
      </c>
      <c r="D104" s="68" t="s">
        <v>397</v>
      </c>
    </row>
    <row r="105" spans="1:4" x14ac:dyDescent="0.25">
      <c r="A105" s="68" t="str">
        <f t="shared" ref="A105:A128" si="16">B105&amp;C105</f>
        <v>Majubavarious</v>
      </c>
      <c r="B105" s="71" t="s">
        <v>407</v>
      </c>
      <c r="C105" s="69" t="s">
        <v>403</v>
      </c>
      <c r="D105" s="68" t="s">
        <v>397</v>
      </c>
    </row>
    <row r="106" spans="1:4" x14ac:dyDescent="0.25">
      <c r="A106" s="68" t="str">
        <f t="shared" si="16"/>
        <v>Ktons14509</v>
      </c>
      <c r="B106" s="70" t="s">
        <v>402</v>
      </c>
      <c r="C106" s="68">
        <v>14509</v>
      </c>
      <c r="D106" s="68" t="s">
        <v>397</v>
      </c>
    </row>
    <row r="107" spans="1:4" x14ac:dyDescent="0.25">
      <c r="A107" s="68" t="str">
        <f t="shared" si="16"/>
        <v>Rand '0008677704</v>
      </c>
      <c r="B107" s="70" t="s">
        <v>401</v>
      </c>
      <c r="C107" s="68">
        <v>8677704</v>
      </c>
      <c r="D107" s="68" t="s">
        <v>397</v>
      </c>
    </row>
    <row r="108" spans="1:4" x14ac:dyDescent="0.25">
      <c r="A108" s="68" t="str">
        <f t="shared" si="16"/>
        <v>rands/ton598.091115859122</v>
      </c>
      <c r="B108" s="70" t="s">
        <v>400</v>
      </c>
      <c r="C108" s="68">
        <f>C107/C106</f>
        <v>598.09111585912194</v>
      </c>
      <c r="D108" s="68" t="s">
        <v>397</v>
      </c>
    </row>
    <row r="109" spans="1:4" x14ac:dyDescent="0.25">
      <c r="A109" s="68" t="str">
        <f t="shared" si="16"/>
        <v>CV as received18.62</v>
      </c>
      <c r="B109" s="70" t="s">
        <v>399</v>
      </c>
      <c r="C109" s="68">
        <v>18.62</v>
      </c>
      <c r="D109" s="68" t="s">
        <v>397</v>
      </c>
    </row>
    <row r="110" spans="1:4" x14ac:dyDescent="0.25">
      <c r="A110" s="68" t="str">
        <f t="shared" si="16"/>
        <v>Rand/GJ32.1208977367949</v>
      </c>
      <c r="B110" s="70" t="s">
        <v>398</v>
      </c>
      <c r="C110" s="68">
        <f>C108/C109</f>
        <v>32.120897736794944</v>
      </c>
      <c r="D110" s="68" t="s">
        <v>397</v>
      </c>
    </row>
    <row r="111" spans="1:4" x14ac:dyDescent="0.25">
      <c r="A111" s="68" t="str">
        <f t="shared" si="16"/>
        <v>Komativarious</v>
      </c>
      <c r="B111" s="69" t="s">
        <v>406</v>
      </c>
      <c r="C111" s="69" t="s">
        <v>403</v>
      </c>
      <c r="D111" s="68" t="s">
        <v>397</v>
      </c>
    </row>
    <row r="112" spans="1:4" x14ac:dyDescent="0.25">
      <c r="A112" s="68" t="str">
        <f t="shared" si="16"/>
        <v>Ktons1265</v>
      </c>
      <c r="B112" s="70" t="s">
        <v>402</v>
      </c>
      <c r="C112" s="68">
        <v>1265</v>
      </c>
      <c r="D112" s="68" t="s">
        <v>397</v>
      </c>
    </row>
    <row r="113" spans="1:4" x14ac:dyDescent="0.25">
      <c r="A113" s="68" t="str">
        <f t="shared" si="16"/>
        <v>Rand '000863148</v>
      </c>
      <c r="B113" s="70" t="s">
        <v>401</v>
      </c>
      <c r="C113" s="68">
        <v>863148</v>
      </c>
      <c r="D113" s="68" t="s">
        <v>397</v>
      </c>
    </row>
    <row r="114" spans="1:4" x14ac:dyDescent="0.25">
      <c r="A114" s="68" t="str">
        <f t="shared" si="16"/>
        <v>rands/ton682.330434782609</v>
      </c>
      <c r="B114" s="70" t="s">
        <v>400</v>
      </c>
      <c r="C114" s="68">
        <f>C113/C112</f>
        <v>682.33043478260868</v>
      </c>
      <c r="D114" s="68" t="s">
        <v>397</v>
      </c>
    </row>
    <row r="115" spans="1:4" x14ac:dyDescent="0.25">
      <c r="A115" s="68" t="str">
        <f t="shared" si="16"/>
        <v>CV as received19.68</v>
      </c>
      <c r="B115" s="70" t="s">
        <v>399</v>
      </c>
      <c r="C115" s="68">
        <v>19.68</v>
      </c>
      <c r="D115" s="68" t="s">
        <v>397</v>
      </c>
    </row>
    <row r="116" spans="1:4" x14ac:dyDescent="0.25">
      <c r="A116" s="68" t="str">
        <f t="shared" si="16"/>
        <v>Rand/GJ34.6712619300106</v>
      </c>
      <c r="B116" s="70" t="s">
        <v>398</v>
      </c>
      <c r="C116" s="68">
        <f>C114/C115</f>
        <v>34.671261930010601</v>
      </c>
      <c r="D116" s="68" t="s">
        <v>397</v>
      </c>
    </row>
    <row r="117" spans="1:4" x14ac:dyDescent="0.25">
      <c r="A117" s="68" t="str">
        <f t="shared" si="16"/>
        <v>Grootvleivarious</v>
      </c>
      <c r="B117" s="69" t="s">
        <v>405</v>
      </c>
      <c r="C117" s="69" t="s">
        <v>403</v>
      </c>
      <c r="D117" s="68" t="s">
        <v>397</v>
      </c>
    </row>
    <row r="118" spans="1:4" x14ac:dyDescent="0.25">
      <c r="A118" s="68" t="str">
        <f t="shared" si="16"/>
        <v>Ktons1334</v>
      </c>
      <c r="B118" s="68" t="s">
        <v>402</v>
      </c>
      <c r="C118" s="68">
        <v>1334</v>
      </c>
      <c r="D118" s="68" t="s">
        <v>397</v>
      </c>
    </row>
    <row r="119" spans="1:4" x14ac:dyDescent="0.25">
      <c r="A119" s="68" t="str">
        <f t="shared" si="16"/>
        <v>Rand '000816929</v>
      </c>
      <c r="B119" s="68" t="s">
        <v>401</v>
      </c>
      <c r="C119" s="68">
        <v>816929</v>
      </c>
      <c r="D119" s="68" t="s">
        <v>397</v>
      </c>
    </row>
    <row r="120" spans="1:4" x14ac:dyDescent="0.25">
      <c r="A120" s="68" t="str">
        <f t="shared" si="16"/>
        <v>rands/ton612.390554722639</v>
      </c>
      <c r="B120" s="68" t="s">
        <v>400</v>
      </c>
      <c r="C120" s="68">
        <f>C119/C118</f>
        <v>612.39055472263863</v>
      </c>
      <c r="D120" s="68" t="s">
        <v>397</v>
      </c>
    </row>
    <row r="121" spans="1:4" x14ac:dyDescent="0.25">
      <c r="A121" s="68" t="str">
        <f t="shared" si="16"/>
        <v>CV as received20.58</v>
      </c>
      <c r="B121" s="68" t="s">
        <v>399</v>
      </c>
      <c r="C121" s="68">
        <v>20.58</v>
      </c>
      <c r="D121" s="68" t="s">
        <v>397</v>
      </c>
    </row>
    <row r="122" spans="1:4" x14ac:dyDescent="0.25">
      <c r="A122" s="68" t="str">
        <f t="shared" si="16"/>
        <v>Rand/GJ29.7565867212166</v>
      </c>
      <c r="B122" s="68" t="s">
        <v>398</v>
      </c>
      <c r="C122" s="68">
        <f>C120/C121</f>
        <v>29.756586721216649</v>
      </c>
      <c r="D122" s="68" t="s">
        <v>397</v>
      </c>
    </row>
    <row r="123" spans="1:4" x14ac:dyDescent="0.25">
      <c r="A123" s="68" t="str">
        <f t="shared" si="16"/>
        <v>Kusile various</v>
      </c>
      <c r="B123" s="69" t="s">
        <v>404</v>
      </c>
      <c r="C123" s="69" t="s">
        <v>403</v>
      </c>
      <c r="D123" s="68" t="s">
        <v>397</v>
      </c>
    </row>
    <row r="124" spans="1:4" x14ac:dyDescent="0.25">
      <c r="A124" s="68" t="str">
        <f t="shared" si="16"/>
        <v>Ktons2158</v>
      </c>
      <c r="B124" s="68" t="s">
        <v>402</v>
      </c>
      <c r="C124" s="68">
        <v>2158</v>
      </c>
      <c r="D124" s="68" t="s">
        <v>397</v>
      </c>
    </row>
    <row r="125" spans="1:4" x14ac:dyDescent="0.25">
      <c r="A125" s="68" t="str">
        <f t="shared" si="16"/>
        <v>Rand '0001192351</v>
      </c>
      <c r="B125" s="68" t="s">
        <v>401</v>
      </c>
      <c r="C125" s="68">
        <v>1192351</v>
      </c>
      <c r="D125" s="68" t="s">
        <v>397</v>
      </c>
    </row>
    <row r="126" spans="1:4" x14ac:dyDescent="0.25">
      <c r="A126" s="68" t="str">
        <f t="shared" si="16"/>
        <v>rands/ton552.525949953661</v>
      </c>
      <c r="B126" s="68" t="s">
        <v>400</v>
      </c>
      <c r="C126" s="68">
        <f>C125/C124</f>
        <v>552.52594995366076</v>
      </c>
      <c r="D126" s="68" t="s">
        <v>397</v>
      </c>
    </row>
    <row r="127" spans="1:4" x14ac:dyDescent="0.25">
      <c r="A127" s="68" t="str">
        <f t="shared" si="16"/>
        <v>CV as received17.53</v>
      </c>
      <c r="B127" s="68" t="s">
        <v>399</v>
      </c>
      <c r="C127" s="68">
        <v>17.53</v>
      </c>
      <c r="D127" s="68" t="s">
        <v>397</v>
      </c>
    </row>
    <row r="128" spans="1:4" x14ac:dyDescent="0.25">
      <c r="A128" s="68" t="str">
        <f t="shared" si="16"/>
        <v>Rand/GJ31.5188790618175</v>
      </c>
      <c r="B128" s="68" t="s">
        <v>398</v>
      </c>
      <c r="C128" s="68">
        <f>C126/C127</f>
        <v>31.518879061817497</v>
      </c>
      <c r="D128" s="68" t="s">
        <v>397</v>
      </c>
    </row>
  </sheetData>
  <pageMargins left="0.7" right="0.7" top="0.75" bottom="0.75" header="0.3" footer="0.3"/>
  <pageSetup paperSize="9" orientation="portrait" verticalDpi="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59FA6-8974-41E5-B11F-A5ACE30F9449}">
  <sheetPr codeName="Sheet22">
    <tabColor theme="6" tint="0.39997558519241921"/>
  </sheetPr>
  <dimension ref="A1:EU178"/>
  <sheetViews>
    <sheetView topLeftCell="A73" zoomScale="70" zoomScaleNormal="70" workbookViewId="0">
      <pane xSplit="1" topLeftCell="AO1" activePane="topRight" state="frozen"/>
      <selection activeCell="A92" sqref="A92"/>
      <selection pane="topRight" activeCell="BC100" sqref="BC100:BN114"/>
    </sheetView>
  </sheetViews>
  <sheetFormatPr defaultColWidth="9.140625" defaultRowHeight="12.75" x14ac:dyDescent="0.2"/>
  <cols>
    <col min="1" max="1" width="21.85546875" style="77" customWidth="1"/>
    <col min="2" max="2" width="9.85546875" style="77" customWidth="1"/>
    <col min="3" max="3" width="12" style="77" customWidth="1"/>
    <col min="4" max="4" width="10.85546875" style="77" customWidth="1"/>
    <col min="5" max="7" width="9.85546875" style="77" customWidth="1"/>
    <col min="8" max="9" width="10.85546875" style="77" customWidth="1"/>
    <col min="10" max="10" width="9.85546875" style="77" customWidth="1"/>
    <col min="11" max="12" width="10.85546875" style="77" customWidth="1"/>
    <col min="13" max="13" width="9.85546875" style="77" customWidth="1"/>
    <col min="14" max="15" width="10.85546875" style="77" customWidth="1"/>
    <col min="16" max="17" width="12" style="77" bestFit="1" customWidth="1"/>
    <col min="18" max="18" width="11.42578125" style="77" bestFit="1" customWidth="1"/>
    <col min="19" max="22" width="11.42578125" style="77" customWidth="1"/>
    <col min="23" max="27" width="16.42578125" style="77" customWidth="1"/>
    <col min="28" max="28" width="12.140625" style="77" customWidth="1"/>
    <col min="29" max="29" width="15.140625" style="77" customWidth="1"/>
    <col min="30" max="54" width="8.85546875" style="77" customWidth="1"/>
    <col min="55" max="16384" width="9.140625" style="77"/>
  </cols>
  <sheetData>
    <row r="1" spans="1:39" ht="17.100000000000001" customHeight="1" x14ac:dyDescent="0.2">
      <c r="A1" s="113" t="s">
        <v>614</v>
      </c>
      <c r="Q1" s="45"/>
      <c r="R1" s="45"/>
      <c r="S1" s="45"/>
      <c r="T1" s="45"/>
      <c r="U1" s="45"/>
      <c r="V1" s="45"/>
      <c r="W1" s="45"/>
      <c r="X1" s="45"/>
      <c r="Y1" s="45"/>
      <c r="Z1" s="45"/>
      <c r="AA1" s="45"/>
      <c r="AB1" s="45"/>
      <c r="AC1" s="45"/>
      <c r="AD1" s="45"/>
      <c r="AE1" s="45"/>
      <c r="AF1" s="45"/>
      <c r="AG1" s="45"/>
      <c r="AH1" s="45"/>
      <c r="AI1" s="45"/>
      <c r="AJ1" s="45"/>
      <c r="AK1" s="45"/>
      <c r="AL1" s="45"/>
      <c r="AM1" s="45"/>
    </row>
    <row r="2" spans="1:39" ht="14.1" customHeight="1" x14ac:dyDescent="0.2">
      <c r="A2" s="527" t="s">
        <v>613</v>
      </c>
      <c r="B2" s="527"/>
      <c r="C2" s="527"/>
      <c r="D2" s="528"/>
      <c r="E2" s="112"/>
      <c r="F2" s="112"/>
      <c r="G2" s="529" t="s">
        <v>612</v>
      </c>
      <c r="H2" s="530"/>
      <c r="I2" s="530"/>
      <c r="J2" s="530"/>
      <c r="K2" s="530"/>
      <c r="L2" s="530"/>
      <c r="M2" s="530"/>
      <c r="N2" s="530"/>
      <c r="O2" s="111"/>
      <c r="Q2" s="77" t="s">
        <v>611</v>
      </c>
      <c r="R2" s="45"/>
      <c r="S2" s="45"/>
      <c r="T2" s="45"/>
      <c r="U2" s="45"/>
      <c r="V2" s="45"/>
      <c r="W2" s="45"/>
      <c r="X2" s="45"/>
      <c r="Y2" s="45"/>
      <c r="Z2" s="45"/>
      <c r="AA2" s="45"/>
      <c r="AB2" s="45"/>
      <c r="AC2" s="45"/>
      <c r="AD2" s="45"/>
      <c r="AE2" s="45"/>
      <c r="AF2" s="45"/>
      <c r="AG2" s="45"/>
      <c r="AH2" s="45"/>
      <c r="AI2" s="45"/>
      <c r="AJ2" s="45"/>
      <c r="AK2" s="45"/>
      <c r="AL2" s="45"/>
      <c r="AM2" s="45"/>
    </row>
    <row r="3" spans="1:39" ht="47.1" customHeight="1" x14ac:dyDescent="0.2">
      <c r="A3" s="533" t="s">
        <v>610</v>
      </c>
      <c r="B3" s="535" t="s">
        <v>609</v>
      </c>
      <c r="C3" s="537" t="s">
        <v>608</v>
      </c>
      <c r="D3" s="539" t="s">
        <v>607</v>
      </c>
      <c r="E3" s="535" t="s">
        <v>606</v>
      </c>
      <c r="F3" s="535" t="s">
        <v>605</v>
      </c>
      <c r="G3" s="531"/>
      <c r="H3" s="532"/>
      <c r="I3" s="532"/>
      <c r="J3" s="532"/>
      <c r="K3" s="532"/>
      <c r="L3" s="532"/>
      <c r="M3" s="532"/>
      <c r="N3" s="532"/>
      <c r="O3" s="111"/>
      <c r="Q3" s="110">
        <v>0.82</v>
      </c>
      <c r="R3" s="45"/>
      <c r="S3" s="45"/>
      <c r="T3" s="45"/>
      <c r="U3" s="45"/>
      <c r="V3" s="45"/>
      <c r="W3" s="45"/>
      <c r="X3" s="45"/>
      <c r="Y3" s="45"/>
      <c r="Z3" s="45"/>
      <c r="AA3" s="45"/>
      <c r="AB3" s="45"/>
      <c r="AC3" s="45"/>
      <c r="AD3" s="45"/>
      <c r="AE3" s="45"/>
      <c r="AF3" s="45"/>
      <c r="AG3" s="45"/>
      <c r="AH3" s="45"/>
      <c r="AI3" s="45"/>
      <c r="AJ3" s="45"/>
      <c r="AK3" s="45"/>
      <c r="AL3" s="45"/>
      <c r="AM3" s="45"/>
    </row>
    <row r="4" spans="1:39" ht="14.1" customHeight="1" x14ac:dyDescent="0.2">
      <c r="A4" s="534"/>
      <c r="B4" s="536"/>
      <c r="C4" s="538"/>
      <c r="D4" s="540"/>
      <c r="E4" s="536"/>
      <c r="F4" s="536"/>
      <c r="G4" s="109" t="s">
        <v>604</v>
      </c>
      <c r="H4" s="109" t="s">
        <v>603</v>
      </c>
      <c r="I4" s="109" t="s">
        <v>602</v>
      </c>
      <c r="J4" s="109" t="s">
        <v>601</v>
      </c>
      <c r="K4" s="109" t="s">
        <v>600</v>
      </c>
      <c r="L4" s="109" t="s">
        <v>599</v>
      </c>
      <c r="M4" s="109" t="s">
        <v>598</v>
      </c>
      <c r="N4" s="109" t="s">
        <v>597</v>
      </c>
      <c r="O4" s="108" t="s">
        <v>596</v>
      </c>
      <c r="P4" s="77" t="s">
        <v>2053</v>
      </c>
      <c r="Q4" s="77">
        <v>2017</v>
      </c>
      <c r="R4" s="45">
        <v>2012</v>
      </c>
      <c r="S4" s="45"/>
      <c r="T4" s="45"/>
      <c r="U4" s="45"/>
      <c r="V4" s="45"/>
      <c r="W4" s="45" t="s">
        <v>595</v>
      </c>
      <c r="X4" s="45"/>
      <c r="Y4" s="45"/>
      <c r="Z4" s="45"/>
      <c r="AA4" s="45"/>
      <c r="AB4" s="45" t="s">
        <v>594</v>
      </c>
      <c r="AC4" s="45"/>
      <c r="AD4" s="45"/>
      <c r="AE4" s="45"/>
      <c r="AF4" s="45"/>
      <c r="AG4" s="45"/>
      <c r="AH4" s="45"/>
      <c r="AI4" s="45"/>
      <c r="AJ4" s="45"/>
      <c r="AK4" s="45"/>
      <c r="AL4" s="45"/>
      <c r="AM4" s="45"/>
    </row>
    <row r="5" spans="1:39" ht="14.1" customHeight="1" x14ac:dyDescent="0.2">
      <c r="A5" s="81" t="s">
        <v>593</v>
      </c>
      <c r="B5" s="84">
        <v>1980</v>
      </c>
      <c r="C5" s="83">
        <v>26197</v>
      </c>
      <c r="D5" s="83">
        <v>26197</v>
      </c>
      <c r="E5" s="82" t="s">
        <v>592</v>
      </c>
      <c r="F5" s="81" t="s">
        <v>543</v>
      </c>
      <c r="G5" s="101">
        <v>13227864</v>
      </c>
      <c r="H5" s="101">
        <v>12194878</v>
      </c>
      <c r="I5" s="101">
        <v>12229098</v>
      </c>
      <c r="J5" s="101">
        <v>11950797</v>
      </c>
      <c r="K5" s="101">
        <v>10840753</v>
      </c>
      <c r="L5" s="101">
        <v>9893812</v>
      </c>
      <c r="M5" s="101">
        <v>10099018</v>
      </c>
      <c r="N5" s="101">
        <v>10483060</v>
      </c>
      <c r="O5" s="100">
        <v>10305115</v>
      </c>
      <c r="P5" s="100">
        <v>9929077</v>
      </c>
      <c r="Q5" s="99">
        <f t="shared" ref="Q5:Q13" si="0">3/12*N5+9/12*O5</f>
        <v>10349601.25</v>
      </c>
      <c r="R5" s="99">
        <f t="shared" ref="R5:R15" si="1">3/12*I5+9/12*J5</f>
        <v>12020372.25</v>
      </c>
      <c r="S5" s="45"/>
      <c r="T5" s="45"/>
      <c r="U5" s="45"/>
      <c r="V5" s="45"/>
      <c r="W5" s="66">
        <f>Q5*'eskom fuel 2009-YTD'!$P$34/'eskom fuel 2009-YTD'!$P$33/1000000</f>
        <v>10.343472451641308</v>
      </c>
      <c r="X5" s="66"/>
      <c r="Y5" s="66"/>
      <c r="Z5" s="66"/>
      <c r="AA5" s="66"/>
      <c r="AB5" s="97">
        <f>SUMIF(NERSA2017!$D$2:$D$131,A5,NERSA2017!$O$2:$O$131)/1000000</f>
        <v>9.96671744</v>
      </c>
      <c r="AC5" s="45"/>
      <c r="AD5" s="45"/>
      <c r="AE5" s="45"/>
      <c r="AF5" s="45"/>
      <c r="AG5" s="45"/>
      <c r="AH5" s="45"/>
      <c r="AI5" s="45"/>
      <c r="AJ5" s="45"/>
      <c r="AK5" s="45"/>
      <c r="AL5" s="45"/>
      <c r="AM5" s="45"/>
    </row>
    <row r="6" spans="1:39" ht="14.1" customHeight="1" x14ac:dyDescent="0.2">
      <c r="A6" s="81" t="s">
        <v>591</v>
      </c>
      <c r="B6" s="84">
        <v>3450</v>
      </c>
      <c r="C6" s="83">
        <v>29238</v>
      </c>
      <c r="D6" s="83">
        <v>29238</v>
      </c>
      <c r="E6" s="82" t="s">
        <v>590</v>
      </c>
      <c r="F6" s="81" t="s">
        <v>543</v>
      </c>
      <c r="G6" s="101">
        <v>22581228</v>
      </c>
      <c r="H6" s="101">
        <v>20267508</v>
      </c>
      <c r="I6" s="101">
        <v>17556459</v>
      </c>
      <c r="J6" s="101">
        <v>17413964</v>
      </c>
      <c r="K6" s="101">
        <v>17925378</v>
      </c>
      <c r="L6" s="101">
        <v>13191464</v>
      </c>
      <c r="M6" s="101">
        <v>14060101</v>
      </c>
      <c r="N6" s="101">
        <v>16359000</v>
      </c>
      <c r="O6" s="100">
        <v>13001015</v>
      </c>
      <c r="P6" s="100">
        <v>11120844</v>
      </c>
      <c r="Q6" s="99">
        <f t="shared" si="0"/>
        <v>13840511.25</v>
      </c>
      <c r="R6" s="99">
        <f t="shared" si="1"/>
        <v>17449587.75</v>
      </c>
      <c r="S6" s="45"/>
      <c r="T6" s="45"/>
      <c r="U6" s="45"/>
      <c r="V6" s="45"/>
      <c r="W6" s="66">
        <f>Q6*'eskom fuel 2009-YTD'!$P$34/'eskom fuel 2009-YTD'!$P$33/1000000</f>
        <v>13.832315214173745</v>
      </c>
      <c r="X6" s="66"/>
      <c r="Y6" s="66"/>
      <c r="Z6" s="66"/>
      <c r="AA6" s="66"/>
      <c r="AB6" s="97">
        <f>SUMIF(NERSA2017!$D$2:$D$131,A6,NERSA2017!$O$2:$O$131)/1000000</f>
        <v>15.031081919999998</v>
      </c>
      <c r="AC6" s="45"/>
      <c r="AD6" s="45"/>
      <c r="AE6" s="45"/>
      <c r="AF6" s="45"/>
      <c r="AG6" s="45"/>
      <c r="AH6" s="45"/>
      <c r="AI6" s="45"/>
      <c r="AJ6" s="45"/>
      <c r="AK6" s="45"/>
      <c r="AL6" s="45"/>
      <c r="AM6" s="45"/>
    </row>
    <row r="7" spans="1:39" ht="14.1" customHeight="1" x14ac:dyDescent="0.2">
      <c r="A7" s="81" t="s">
        <v>589</v>
      </c>
      <c r="B7" s="84">
        <v>1895</v>
      </c>
      <c r="C7" s="83">
        <v>25700</v>
      </c>
      <c r="D7" s="83">
        <v>25700</v>
      </c>
      <c r="E7" s="82" t="s">
        <v>588</v>
      </c>
      <c r="F7" s="81" t="s">
        <v>543</v>
      </c>
      <c r="G7" s="101">
        <v>12143292</v>
      </c>
      <c r="H7" s="101">
        <v>11938206</v>
      </c>
      <c r="I7" s="101">
        <v>11412357</v>
      </c>
      <c r="J7" s="101">
        <v>9489357</v>
      </c>
      <c r="K7" s="101">
        <v>8861776</v>
      </c>
      <c r="L7" s="101">
        <v>10079833</v>
      </c>
      <c r="M7" s="101">
        <v>8172225</v>
      </c>
      <c r="N7" s="101">
        <v>8919238</v>
      </c>
      <c r="O7" s="100">
        <v>7667408</v>
      </c>
      <c r="P7" s="100">
        <v>7355513</v>
      </c>
      <c r="Q7" s="99">
        <f t="shared" si="0"/>
        <v>7980365.5</v>
      </c>
      <c r="R7" s="99">
        <f t="shared" si="1"/>
        <v>9970107</v>
      </c>
      <c r="S7" s="45"/>
      <c r="T7" s="45"/>
      <c r="U7" s="45"/>
      <c r="V7" s="45"/>
      <c r="W7" s="66">
        <f>Q7*'eskom fuel 2009-YTD'!$P$34/'eskom fuel 2009-YTD'!$P$33/1000000</f>
        <v>7.9756397091413271</v>
      </c>
      <c r="X7" s="66"/>
      <c r="Y7" s="66"/>
      <c r="Z7" s="66"/>
      <c r="AA7" s="66"/>
      <c r="AB7" s="97">
        <f>SUMIF(NERSA2017!$D$2:$D$131,A7,NERSA2017!$O$2:$O$131)/1000000</f>
        <v>7.6544970599999997</v>
      </c>
      <c r="AC7" s="45"/>
      <c r="AD7" s="45"/>
      <c r="AE7" s="45"/>
      <c r="AF7" s="45"/>
      <c r="AG7" s="45"/>
      <c r="AH7" s="45"/>
      <c r="AI7" s="45"/>
      <c r="AJ7" s="45"/>
      <c r="AK7" s="45"/>
      <c r="AL7" s="45"/>
      <c r="AM7" s="45"/>
    </row>
    <row r="8" spans="1:39" ht="14.1" customHeight="1" x14ac:dyDescent="0.2">
      <c r="A8" s="81" t="s">
        <v>587</v>
      </c>
      <c r="B8" s="84">
        <v>3840</v>
      </c>
      <c r="C8" s="83">
        <v>32417</v>
      </c>
      <c r="D8" s="83">
        <v>32417</v>
      </c>
      <c r="E8" s="82" t="s">
        <v>586</v>
      </c>
      <c r="F8" s="81" t="s">
        <v>543</v>
      </c>
      <c r="G8" s="101">
        <v>23307031</v>
      </c>
      <c r="H8" s="101">
        <v>25648258</v>
      </c>
      <c r="I8" s="101">
        <v>27309297</v>
      </c>
      <c r="J8" s="101">
        <v>26198513</v>
      </c>
      <c r="K8" s="101">
        <v>27012212</v>
      </c>
      <c r="L8" s="101">
        <v>24459162</v>
      </c>
      <c r="M8" s="101">
        <v>25301535</v>
      </c>
      <c r="N8" s="101">
        <v>23183480</v>
      </c>
      <c r="O8" s="100">
        <v>25445952</v>
      </c>
      <c r="P8" s="100">
        <v>21049970</v>
      </c>
      <c r="Q8" s="99">
        <f t="shared" si="0"/>
        <v>24880334</v>
      </c>
      <c r="R8" s="99">
        <f t="shared" si="1"/>
        <v>26476209</v>
      </c>
      <c r="S8" s="45"/>
      <c r="T8" s="45"/>
      <c r="U8" s="45"/>
      <c r="V8" s="45"/>
      <c r="W8" s="66">
        <f>Q8*'eskom fuel 2009-YTD'!$P$34/'eskom fuel 2009-YTD'!$P$33/1000000</f>
        <v>24.865600432348501</v>
      </c>
      <c r="X8" s="66"/>
      <c r="Y8" s="66"/>
      <c r="Z8" s="66"/>
      <c r="AA8" s="66"/>
      <c r="AB8" s="97">
        <f>SUMIF(NERSA2017!$D$2:$D$131,A8,NERSA2017!$O$2:$O$131)/1000000</f>
        <v>25.272271910000001</v>
      </c>
      <c r="AC8" s="45"/>
      <c r="AD8" s="45"/>
      <c r="AE8" s="45"/>
      <c r="AF8" s="45"/>
      <c r="AG8" s="45"/>
      <c r="AH8" s="45"/>
      <c r="AI8" s="45"/>
      <c r="AJ8" s="45"/>
      <c r="AK8" s="45"/>
      <c r="AL8" s="45"/>
      <c r="AM8" s="45"/>
    </row>
    <row r="9" spans="1:39" ht="14.1" customHeight="1" x14ac:dyDescent="0.2">
      <c r="A9" s="81" t="s">
        <v>585</v>
      </c>
      <c r="B9" s="84">
        <v>2850</v>
      </c>
      <c r="C9" s="83">
        <v>27886</v>
      </c>
      <c r="D9" s="83">
        <v>27886</v>
      </c>
      <c r="E9" s="82" t="s">
        <v>584</v>
      </c>
      <c r="F9" s="81" t="s">
        <v>543</v>
      </c>
      <c r="G9" s="101">
        <v>15906816</v>
      </c>
      <c r="H9" s="101">
        <v>18204910</v>
      </c>
      <c r="I9" s="101">
        <v>15289169</v>
      </c>
      <c r="J9" s="101">
        <v>16570689</v>
      </c>
      <c r="K9" s="101">
        <v>14443442</v>
      </c>
      <c r="L9" s="101">
        <v>14803828</v>
      </c>
      <c r="M9" s="101">
        <v>15940417</v>
      </c>
      <c r="N9" s="101">
        <v>14837902</v>
      </c>
      <c r="O9" s="100">
        <v>12183630</v>
      </c>
      <c r="P9" s="100">
        <v>13067561</v>
      </c>
      <c r="Q9" s="99">
        <f t="shared" si="0"/>
        <v>12847198</v>
      </c>
      <c r="R9" s="99">
        <f t="shared" si="1"/>
        <v>16250309</v>
      </c>
      <c r="S9" s="45"/>
      <c r="T9" s="45"/>
      <c r="U9" s="45"/>
      <c r="V9" s="45"/>
      <c r="W9" s="66">
        <f>Q9*'eskom fuel 2009-YTD'!$P$34/'eskom fuel 2009-YTD'!$P$33/1000000</f>
        <v>12.839590181677899</v>
      </c>
      <c r="X9" s="66"/>
      <c r="Y9" s="66"/>
      <c r="Z9" s="66"/>
      <c r="AA9" s="66"/>
      <c r="AB9" s="97">
        <f>SUMIF(NERSA2017!$D$2:$D$131,A9,NERSA2017!$O$2:$O$131)/1000000</f>
        <v>12.509279580000001</v>
      </c>
      <c r="AC9" s="45"/>
      <c r="AD9" s="45"/>
      <c r="AE9" s="45"/>
      <c r="AF9" s="45"/>
      <c r="AG9" s="45"/>
      <c r="AH9" s="45"/>
      <c r="AI9" s="45"/>
      <c r="AJ9" s="45"/>
      <c r="AK9" s="45"/>
      <c r="AL9" s="45"/>
      <c r="AM9" s="45"/>
    </row>
    <row r="10" spans="1:39" ht="14.1" customHeight="1" x14ac:dyDescent="0.2">
      <c r="A10" s="81" t="s">
        <v>583</v>
      </c>
      <c r="B10" s="84">
        <v>3558</v>
      </c>
      <c r="C10" s="83">
        <v>31403</v>
      </c>
      <c r="D10" s="83">
        <v>31403</v>
      </c>
      <c r="E10" s="82" t="s">
        <v>582</v>
      </c>
      <c r="F10" s="81" t="s">
        <v>543</v>
      </c>
      <c r="G10" s="101">
        <v>25522698</v>
      </c>
      <c r="H10" s="101">
        <v>25500366</v>
      </c>
      <c r="I10" s="101">
        <v>24274937</v>
      </c>
      <c r="J10" s="101">
        <v>22480206</v>
      </c>
      <c r="K10" s="101">
        <v>23092551</v>
      </c>
      <c r="L10" s="101">
        <v>23742350</v>
      </c>
      <c r="M10" s="101">
        <v>20996410</v>
      </c>
      <c r="N10" s="101">
        <v>22271522</v>
      </c>
      <c r="O10" s="100">
        <v>18202800</v>
      </c>
      <c r="P10" s="100">
        <v>21565771</v>
      </c>
      <c r="Q10" s="99">
        <f t="shared" si="0"/>
        <v>19219980.5</v>
      </c>
      <c r="R10" s="99">
        <f t="shared" si="1"/>
        <v>22928888.75</v>
      </c>
      <c r="S10" s="45"/>
      <c r="T10" s="45"/>
      <c r="U10" s="45"/>
      <c r="V10" s="45"/>
      <c r="W10" s="66">
        <f>Q10*'eskom fuel 2009-YTD'!$P$34/'eskom fuel 2009-YTD'!$P$33/1000000</f>
        <v>19.208598864891837</v>
      </c>
      <c r="X10" s="66"/>
      <c r="Y10" s="66"/>
      <c r="Z10" s="66"/>
      <c r="AA10" s="66"/>
      <c r="AB10" s="97">
        <f>SUMIF(NERSA2017!$D$2:$D$131,A10,NERSA2017!$O$2:$O$131)/1000000</f>
        <v>20.021889999999999</v>
      </c>
      <c r="AC10" s="45"/>
      <c r="AD10" s="45"/>
      <c r="AE10" s="45"/>
      <c r="AF10" s="45"/>
      <c r="AG10" s="45"/>
      <c r="AH10" s="45"/>
      <c r="AI10" s="45"/>
      <c r="AJ10" s="45"/>
      <c r="AK10" s="45"/>
      <c r="AL10" s="45"/>
      <c r="AM10" s="45"/>
    </row>
    <row r="11" spans="1:39" ht="14.1" customHeight="1" x14ac:dyDescent="0.2">
      <c r="A11" s="81" t="s">
        <v>581</v>
      </c>
      <c r="B11" s="84">
        <v>3690</v>
      </c>
      <c r="C11" s="83">
        <v>32115</v>
      </c>
      <c r="D11" s="83">
        <v>32115</v>
      </c>
      <c r="E11" s="82" t="s">
        <v>580</v>
      </c>
      <c r="F11" s="81" t="s">
        <v>543</v>
      </c>
      <c r="G11" s="101">
        <v>27964141</v>
      </c>
      <c r="H11" s="101">
        <v>28163040</v>
      </c>
      <c r="I11" s="101">
        <v>27899475</v>
      </c>
      <c r="J11" s="101">
        <v>26714123</v>
      </c>
      <c r="K11" s="101">
        <v>25895187</v>
      </c>
      <c r="L11" s="101">
        <v>26851628</v>
      </c>
      <c r="M11" s="101">
        <v>24554035</v>
      </c>
      <c r="N11" s="101">
        <v>25610275</v>
      </c>
      <c r="O11" s="100">
        <v>26369000</v>
      </c>
      <c r="P11" s="100">
        <v>26677698</v>
      </c>
      <c r="Q11" s="99">
        <f t="shared" si="0"/>
        <v>26179318.75</v>
      </c>
      <c r="R11" s="99">
        <f t="shared" si="1"/>
        <v>27010461</v>
      </c>
      <c r="S11" s="45"/>
      <c r="T11" s="45"/>
      <c r="U11" s="45"/>
      <c r="V11" s="45"/>
      <c r="W11" s="66">
        <f>Q11*'eskom fuel 2009-YTD'!$P$34/'eskom fuel 2009-YTD'!$P$33/1000000</f>
        <v>26.163815953137497</v>
      </c>
      <c r="X11" s="66"/>
      <c r="Y11" s="66"/>
      <c r="Z11" s="66"/>
      <c r="AA11" s="66"/>
      <c r="AB11" s="97">
        <f>SUMIF(NERSA2017!$D$2:$D$131,A11,NERSA2017!$O$2:$O$131)/1000000</f>
        <v>25.806636709999999</v>
      </c>
      <c r="AC11" s="45"/>
      <c r="AD11" s="45"/>
      <c r="AE11" s="45"/>
      <c r="AF11" s="45"/>
      <c r="AG11" s="45"/>
      <c r="AH11" s="45"/>
      <c r="AI11" s="45"/>
      <c r="AJ11" s="45"/>
      <c r="AK11" s="45"/>
      <c r="AL11" s="45"/>
      <c r="AM11" s="45"/>
    </row>
    <row r="12" spans="1:39" ht="14.1" customHeight="1" x14ac:dyDescent="0.2">
      <c r="A12" s="81" t="s">
        <v>579</v>
      </c>
      <c r="B12" s="84">
        <v>3843</v>
      </c>
      <c r="C12" s="83">
        <v>35156</v>
      </c>
      <c r="D12" s="83">
        <v>35156</v>
      </c>
      <c r="E12" s="82" t="s">
        <v>578</v>
      </c>
      <c r="F12" s="81" t="s">
        <v>543</v>
      </c>
      <c r="G12" s="101">
        <v>22340081</v>
      </c>
      <c r="H12" s="101">
        <v>24632585</v>
      </c>
      <c r="I12" s="101">
        <v>25325348</v>
      </c>
      <c r="J12" s="101">
        <v>24781734</v>
      </c>
      <c r="K12" s="101">
        <v>23801048</v>
      </c>
      <c r="L12" s="101">
        <v>22423750</v>
      </c>
      <c r="M12" s="101">
        <v>21187846</v>
      </c>
      <c r="N12" s="101">
        <v>20900760</v>
      </c>
      <c r="O12" s="100">
        <v>24413270</v>
      </c>
      <c r="P12" s="100">
        <v>24154240</v>
      </c>
      <c r="Q12" s="99">
        <f t="shared" si="0"/>
        <v>23535142.5</v>
      </c>
      <c r="R12" s="99">
        <f t="shared" si="1"/>
        <v>24917637.5</v>
      </c>
      <c r="S12" s="45"/>
      <c r="T12" s="45"/>
      <c r="U12" s="45"/>
      <c r="V12" s="45"/>
      <c r="W12" s="66">
        <f>Q12*'eskom fuel 2009-YTD'!$P$34/'eskom fuel 2009-YTD'!$P$33/1000000</f>
        <v>23.521205524145444</v>
      </c>
      <c r="X12" s="66"/>
      <c r="Y12" s="66"/>
      <c r="Z12" s="66"/>
      <c r="AA12" s="66"/>
      <c r="AB12" s="97">
        <f>SUMIF(NERSA2017!$D$2:$D$131,A12,NERSA2017!$O$2:$O$131)/1000000</f>
        <v>23.367554640000002</v>
      </c>
      <c r="AC12" s="45"/>
      <c r="AD12" s="45"/>
      <c r="AE12" s="45"/>
      <c r="AF12" s="45"/>
      <c r="AG12" s="45"/>
      <c r="AH12" s="45"/>
      <c r="AI12" s="45"/>
      <c r="AJ12" s="45"/>
      <c r="AK12" s="45"/>
      <c r="AL12" s="45"/>
      <c r="AM12" s="45"/>
    </row>
    <row r="13" spans="1:39" ht="14.1" customHeight="1" x14ac:dyDescent="0.2">
      <c r="A13" s="81" t="s">
        <v>577</v>
      </c>
      <c r="B13" s="84">
        <v>3450</v>
      </c>
      <c r="C13" s="83">
        <v>29127</v>
      </c>
      <c r="D13" s="83">
        <v>29127</v>
      </c>
      <c r="E13" s="82" t="s">
        <v>576</v>
      </c>
      <c r="F13" s="81" t="s">
        <v>543</v>
      </c>
      <c r="G13" s="101">
        <v>21954536</v>
      </c>
      <c r="H13" s="101">
        <v>21504422</v>
      </c>
      <c r="I13" s="101">
        <v>20650022</v>
      </c>
      <c r="J13" s="101">
        <v>21939690</v>
      </c>
      <c r="K13" s="101">
        <v>18376342</v>
      </c>
      <c r="L13" s="101">
        <v>20221135</v>
      </c>
      <c r="M13" s="101">
        <v>20811348</v>
      </c>
      <c r="N13" s="101">
        <v>20032197</v>
      </c>
      <c r="O13" s="100">
        <v>19408403</v>
      </c>
      <c r="P13" s="100">
        <v>18938849</v>
      </c>
      <c r="Q13" s="99">
        <f t="shared" si="0"/>
        <v>19564351.5</v>
      </c>
      <c r="R13" s="99">
        <f t="shared" si="1"/>
        <v>21617273</v>
      </c>
      <c r="S13" s="45"/>
      <c r="T13" s="45"/>
      <c r="U13" s="45"/>
      <c r="V13" s="45"/>
      <c r="W13" s="66">
        <f>Q13*'eskom fuel 2009-YTD'!$P$34/'eskom fuel 2009-YTD'!$P$33/1000000</f>
        <v>19.552765936221682</v>
      </c>
      <c r="X13" s="66"/>
      <c r="Y13" s="66"/>
      <c r="Z13" s="66"/>
      <c r="AA13" s="66"/>
      <c r="AB13" s="97">
        <f>SUMIF(NERSA2017!$D$2:$D$131,A13,NERSA2017!$O$2:$O$131)/1000000</f>
        <v>18.703783389999998</v>
      </c>
      <c r="AC13" s="45"/>
      <c r="AD13" s="45"/>
      <c r="AE13" s="45"/>
      <c r="AF13" s="45"/>
      <c r="AG13" s="45"/>
      <c r="AH13" s="45"/>
      <c r="AI13" s="45"/>
      <c r="AJ13" s="45"/>
      <c r="AK13" s="45"/>
      <c r="AL13" s="45"/>
      <c r="AM13" s="45"/>
    </row>
    <row r="14" spans="1:39" ht="14.1" customHeight="1" x14ac:dyDescent="0.2">
      <c r="A14" s="81" t="s">
        <v>575</v>
      </c>
      <c r="B14" s="84">
        <v>4764</v>
      </c>
      <c r="C14" s="83">
        <v>42238</v>
      </c>
      <c r="D14" s="83">
        <v>42239</v>
      </c>
      <c r="E14" s="82" t="s">
        <v>574</v>
      </c>
      <c r="F14" s="81" t="s">
        <v>543</v>
      </c>
      <c r="G14" s="103"/>
      <c r="H14" s="103"/>
      <c r="I14" s="103"/>
      <c r="J14" s="103"/>
      <c r="K14" s="103"/>
      <c r="L14" s="103"/>
      <c r="M14" s="103"/>
      <c r="N14" s="101">
        <v>2428262</v>
      </c>
      <c r="O14" s="100">
        <v>12365764</v>
      </c>
      <c r="P14" s="100">
        <v>15518851</v>
      </c>
      <c r="Q14" s="107">
        <f>O14*Q3</f>
        <v>10139926.479999999</v>
      </c>
      <c r="R14" s="99">
        <f t="shared" si="1"/>
        <v>0</v>
      </c>
      <c r="S14" s="45"/>
      <c r="T14" s="45"/>
      <c r="U14" s="45"/>
      <c r="V14" s="45"/>
      <c r="W14" s="66">
        <f>Q14*'eskom fuel 2009-YTD'!$P$34/'eskom fuel 2009-YTD'!$P$33/1000000</f>
        <v>10.133921846269024</v>
      </c>
      <c r="X14" s="66"/>
      <c r="Y14" s="66"/>
      <c r="Z14" s="66"/>
      <c r="AA14" s="66"/>
      <c r="AB14" s="97">
        <f>SUMIF(NERSA2017!$D$2:$D$131,A14,NERSA2017!$O$2:$O$131)/1000000</f>
        <v>7.8446610799999998</v>
      </c>
      <c r="AC14" s="45"/>
      <c r="AD14" s="45"/>
      <c r="AE14" s="45"/>
      <c r="AF14" s="45"/>
      <c r="AG14" s="45"/>
      <c r="AH14" s="45"/>
      <c r="AI14" s="45"/>
      <c r="AJ14" s="45"/>
      <c r="AK14" s="45"/>
      <c r="AL14" s="45"/>
      <c r="AM14" s="45"/>
    </row>
    <row r="15" spans="1:39" ht="14.1" customHeight="1" x14ac:dyDescent="0.2">
      <c r="A15" s="81" t="s">
        <v>573</v>
      </c>
      <c r="B15" s="84">
        <v>3510</v>
      </c>
      <c r="C15" s="83">
        <v>31199</v>
      </c>
      <c r="D15" s="83">
        <v>31199</v>
      </c>
      <c r="E15" s="82" t="s">
        <v>572</v>
      </c>
      <c r="F15" s="81" t="s">
        <v>543</v>
      </c>
      <c r="G15" s="101">
        <v>19847894</v>
      </c>
      <c r="H15" s="101">
        <v>19067501</v>
      </c>
      <c r="I15" s="101">
        <v>20504886</v>
      </c>
      <c r="J15" s="101">
        <v>19306569</v>
      </c>
      <c r="K15" s="101">
        <v>18103698</v>
      </c>
      <c r="L15" s="101">
        <v>20594572</v>
      </c>
      <c r="M15" s="101">
        <v>18383009</v>
      </c>
      <c r="N15" s="101">
        <v>16028708</v>
      </c>
      <c r="O15" s="100">
        <v>16730961</v>
      </c>
      <c r="P15" s="100">
        <v>15169501</v>
      </c>
      <c r="Q15" s="99">
        <f>3/12*N15+9/12*O15</f>
        <v>16555397.75</v>
      </c>
      <c r="R15" s="99">
        <f t="shared" si="1"/>
        <v>19606148.25</v>
      </c>
      <c r="S15" s="45"/>
      <c r="T15" s="45"/>
      <c r="U15" s="45"/>
      <c r="V15" s="45"/>
      <c r="W15" s="66">
        <f>Q15*'eskom fuel 2009-YTD'!$P$34/'eskom fuel 2009-YTD'!$P$33/1000000</f>
        <v>16.545594020164739</v>
      </c>
      <c r="X15" s="66"/>
      <c r="Y15" s="66"/>
      <c r="Z15" s="66"/>
      <c r="AA15" s="66"/>
      <c r="AB15" s="97">
        <f>SUMIF(NERSA2017!$D$2:$D$131,A15,NERSA2017!$O$2:$O$131)/1000000</f>
        <v>16.473325799999998</v>
      </c>
      <c r="AC15" s="45"/>
      <c r="AD15" s="45"/>
      <c r="AE15" s="45"/>
      <c r="AF15" s="45"/>
      <c r="AG15" s="45"/>
      <c r="AH15" s="45"/>
      <c r="AI15" s="45"/>
      <c r="AJ15" s="45"/>
      <c r="AK15" s="45"/>
      <c r="AL15" s="45"/>
      <c r="AM15" s="45"/>
    </row>
    <row r="16" spans="1:39" ht="14.1" customHeight="1" x14ac:dyDescent="0.2">
      <c r="A16" s="81" t="s">
        <v>513</v>
      </c>
      <c r="B16" s="84"/>
      <c r="C16" s="83"/>
      <c r="D16" s="83"/>
      <c r="E16" s="82"/>
      <c r="F16" s="81"/>
      <c r="G16" s="101"/>
      <c r="H16" s="101"/>
      <c r="I16" s="101"/>
      <c r="J16" s="101"/>
      <c r="K16" s="101"/>
      <c r="L16" s="101"/>
      <c r="M16" s="101"/>
      <c r="N16" s="101"/>
      <c r="O16" s="100"/>
      <c r="P16" s="100">
        <v>3921196</v>
      </c>
      <c r="Q16" s="107">
        <f>W16*1000000</f>
        <v>1379599</v>
      </c>
      <c r="R16" s="99"/>
      <c r="S16" s="45"/>
      <c r="T16" s="45"/>
      <c r="U16" s="45"/>
      <c r="V16" s="45"/>
      <c r="W16" s="66">
        <f>AB16</f>
        <v>1.379599</v>
      </c>
      <c r="X16" s="66"/>
      <c r="Y16" s="66"/>
      <c r="Z16" s="66"/>
      <c r="AA16" s="66"/>
      <c r="AB16" s="97">
        <f>SUMIF(NERSA2017!$D$2:$D$131,A16,NERSA2017!$O$2:$O$131)/1000000</f>
        <v>1.379599</v>
      </c>
      <c r="AC16" s="45"/>
      <c r="AD16" s="45"/>
      <c r="AE16" s="45"/>
      <c r="AF16" s="45"/>
      <c r="AG16" s="45"/>
      <c r="AH16" s="45"/>
      <c r="AI16" s="45"/>
      <c r="AJ16" s="45"/>
      <c r="AK16" s="45"/>
      <c r="AL16" s="45"/>
      <c r="AM16" s="45"/>
    </row>
    <row r="17" spans="1:151" ht="14.1" customHeight="1" x14ac:dyDescent="0.2">
      <c r="A17" s="81" t="s">
        <v>571</v>
      </c>
      <c r="B17" s="84">
        <v>1800</v>
      </c>
      <c r="C17" s="83">
        <v>30884</v>
      </c>
      <c r="D17" s="83">
        <v>30884</v>
      </c>
      <c r="E17" s="82" t="s">
        <v>570</v>
      </c>
      <c r="F17" s="81" t="s">
        <v>543</v>
      </c>
      <c r="G17" s="103"/>
      <c r="H17" s="103"/>
      <c r="I17" s="103"/>
      <c r="J17" s="103"/>
      <c r="K17" s="103"/>
      <c r="L17" s="103"/>
      <c r="M17" s="103"/>
      <c r="N17" s="103"/>
      <c r="O17" s="102">
        <v>14193287</v>
      </c>
      <c r="P17" s="100">
        <v>11580000</v>
      </c>
      <c r="Q17" s="99">
        <f>O17</f>
        <v>14193287</v>
      </c>
      <c r="R17" s="99">
        <f t="shared" ref="R17:R32" si="2">3/12*I17+9/12*J17</f>
        <v>0</v>
      </c>
      <c r="S17" s="45"/>
      <c r="T17" s="45"/>
      <c r="U17" s="45"/>
      <c r="V17" s="45"/>
      <c r="W17" s="66"/>
      <c r="X17" s="66"/>
      <c r="Y17" s="66"/>
      <c r="Z17" s="66"/>
      <c r="AA17" s="66"/>
      <c r="AB17" s="97">
        <f>SUMIF(NERSA2017!$D$2:$D$131,A17,NERSA2017!$O$2:$O$131)/1000000</f>
        <v>15.086884</v>
      </c>
      <c r="AC17" s="45"/>
      <c r="AD17" s="45"/>
      <c r="AE17" s="45"/>
      <c r="AF17" s="45"/>
      <c r="AG17" s="45"/>
      <c r="AH17" s="45"/>
      <c r="AI17" s="45"/>
      <c r="AJ17" s="45"/>
      <c r="AK17" s="45"/>
      <c r="AL17" s="45"/>
      <c r="AM17" s="45"/>
    </row>
    <row r="18" spans="1:151" ht="14.1" customHeight="1" x14ac:dyDescent="0.2">
      <c r="A18" s="81" t="s">
        <v>569</v>
      </c>
      <c r="B18" s="84">
        <v>171</v>
      </c>
      <c r="C18" s="83">
        <v>27893</v>
      </c>
      <c r="D18" s="83">
        <v>27893</v>
      </c>
      <c r="E18" s="82" t="s">
        <v>568</v>
      </c>
      <c r="F18" s="81" t="s">
        <v>543</v>
      </c>
      <c r="G18" s="101">
        <v>2187</v>
      </c>
      <c r="H18" s="106">
        <v>992</v>
      </c>
      <c r="I18" s="101">
        <v>1163</v>
      </c>
      <c r="J18" s="101">
        <v>9958</v>
      </c>
      <c r="K18" s="101">
        <v>56443</v>
      </c>
      <c r="L18" s="101">
        <v>64570</v>
      </c>
      <c r="M18" s="101">
        <v>55960</v>
      </c>
      <c r="N18" s="106">
        <v>151</v>
      </c>
      <c r="O18" s="105">
        <v>76</v>
      </c>
      <c r="P18" s="100">
        <v>1712</v>
      </c>
      <c r="Q18" s="99">
        <f t="shared" ref="Q18:Q32" si="3">3/12*N18+9/12*O18</f>
        <v>94.75</v>
      </c>
      <c r="R18" s="99">
        <f t="shared" si="2"/>
        <v>7759.25</v>
      </c>
      <c r="S18" s="45"/>
      <c r="T18" s="45"/>
      <c r="U18" s="45"/>
      <c r="V18" s="45"/>
      <c r="W18" s="66"/>
      <c r="X18" s="66"/>
      <c r="Y18" s="66"/>
      <c r="Z18" s="66"/>
      <c r="AA18" s="66"/>
      <c r="AB18" s="97">
        <f>SUMIF(NERSA2017!$D$2:$D$131,A18,NERSA2017!$O$2:$O$131)/1000000</f>
        <v>7.2999999999999999E-5</v>
      </c>
      <c r="AC18" s="329"/>
      <c r="AD18" s="329"/>
      <c r="AE18" s="329"/>
      <c r="AF18" s="329"/>
      <c r="AG18" s="329"/>
      <c r="AH18" s="45"/>
      <c r="AI18" s="45"/>
      <c r="AJ18" s="45"/>
      <c r="AK18" s="45"/>
      <c r="AL18" s="45"/>
      <c r="AM18" s="45"/>
    </row>
    <row r="19" spans="1:151" ht="14.1" customHeight="1" x14ac:dyDescent="0.2">
      <c r="A19" s="81" t="s">
        <v>567</v>
      </c>
      <c r="B19" s="93"/>
      <c r="C19" s="83">
        <v>39356</v>
      </c>
      <c r="D19" s="83">
        <v>39356</v>
      </c>
      <c r="E19" s="82" t="s">
        <v>566</v>
      </c>
      <c r="F19" s="81" t="s">
        <v>543</v>
      </c>
      <c r="G19" s="101">
        <v>23367</v>
      </c>
      <c r="H19" s="101">
        <v>130241</v>
      </c>
      <c r="I19" s="101">
        <v>391049</v>
      </c>
      <c r="J19" s="101">
        <v>1225994</v>
      </c>
      <c r="K19" s="101">
        <v>2358259</v>
      </c>
      <c r="L19" s="101">
        <v>2350792</v>
      </c>
      <c r="M19" s="101">
        <v>2503859</v>
      </c>
      <c r="N19" s="101">
        <v>20939</v>
      </c>
      <c r="O19" s="100">
        <v>62963</v>
      </c>
      <c r="P19" s="100">
        <v>788527</v>
      </c>
      <c r="Q19" s="99">
        <f t="shared" si="3"/>
        <v>52457</v>
      </c>
      <c r="R19" s="99">
        <f t="shared" si="2"/>
        <v>1017257.75</v>
      </c>
      <c r="S19" s="45"/>
      <c r="T19" s="45"/>
      <c r="U19" s="45"/>
      <c r="V19" s="45"/>
      <c r="W19" s="66"/>
      <c r="X19" s="66"/>
      <c r="Y19" s="66"/>
      <c r="Z19" s="66"/>
      <c r="AA19" s="66"/>
      <c r="AB19" s="97">
        <f>SUMIF(NERSA2017!$D$2:$D$131,A19,NERSA2017!$O$2:$O$131)/1000000</f>
        <v>2.2450000000000001E-2</v>
      </c>
      <c r="AC19" s="329"/>
      <c r="AD19" s="329"/>
      <c r="AE19" s="329"/>
      <c r="AF19" s="329"/>
      <c r="AG19" s="329"/>
      <c r="AH19" s="45"/>
      <c r="AI19" s="45"/>
      <c r="AJ19" s="45"/>
      <c r="AK19" s="45"/>
      <c r="AL19" s="45"/>
      <c r="AM19" s="45"/>
    </row>
    <row r="20" spans="1:151" ht="14.1" customHeight="1" x14ac:dyDescent="0.2">
      <c r="A20" s="81" t="s">
        <v>565</v>
      </c>
      <c r="B20" s="93"/>
      <c r="C20" s="83">
        <v>39356</v>
      </c>
      <c r="D20" s="83">
        <v>39356</v>
      </c>
      <c r="E20" s="82" t="s">
        <v>564</v>
      </c>
      <c r="F20" s="81" t="s">
        <v>543</v>
      </c>
      <c r="G20" s="101">
        <v>22612</v>
      </c>
      <c r="H20" s="101">
        <v>62233</v>
      </c>
      <c r="I20" s="101">
        <v>314651</v>
      </c>
      <c r="J20" s="101">
        <v>657374</v>
      </c>
      <c r="K20" s="101">
        <v>1133246</v>
      </c>
      <c r="L20" s="101">
        <v>1226384</v>
      </c>
      <c r="M20" s="101">
        <v>1307888</v>
      </c>
      <c r="N20" s="101">
        <v>8153</v>
      </c>
      <c r="O20" s="100">
        <v>54495</v>
      </c>
      <c r="P20" s="100">
        <v>409512</v>
      </c>
      <c r="Q20" s="99">
        <f t="shared" si="3"/>
        <v>42909.5</v>
      </c>
      <c r="R20" s="99">
        <f t="shared" si="2"/>
        <v>571693.25</v>
      </c>
      <c r="S20" s="45"/>
      <c r="T20" s="45"/>
      <c r="U20" s="45"/>
      <c r="V20" s="45"/>
      <c r="W20" s="66"/>
      <c r="X20" s="66"/>
      <c r="Y20" s="66"/>
      <c r="Z20" s="66"/>
      <c r="AA20" s="66"/>
      <c r="AB20" s="97">
        <f>SUMIF(NERSA2017!$D$2:$D$131,A20,NERSA2017!$O$2:$O$131)/1000000</f>
        <v>1.606264E-2</v>
      </c>
      <c r="AC20" s="329"/>
      <c r="AD20" s="329"/>
      <c r="AE20" s="329"/>
      <c r="AF20" s="329"/>
      <c r="AG20" s="329"/>
      <c r="AH20" s="45"/>
      <c r="AI20" s="45"/>
      <c r="AJ20" s="45"/>
      <c r="AK20" s="45"/>
      <c r="AL20" s="45"/>
      <c r="AM20" s="45"/>
    </row>
    <row r="21" spans="1:151" x14ac:dyDescent="0.2">
      <c r="A21" s="81" t="s">
        <v>563</v>
      </c>
      <c r="B21" s="84">
        <v>171</v>
      </c>
      <c r="C21" s="83">
        <v>28033</v>
      </c>
      <c r="D21" s="83">
        <v>28033</v>
      </c>
      <c r="E21" s="82" t="s">
        <v>562</v>
      </c>
      <c r="F21" s="81" t="s">
        <v>543</v>
      </c>
      <c r="G21" s="106">
        <v>889</v>
      </c>
      <c r="H21" s="101">
        <v>5507</v>
      </c>
      <c r="I21" s="101">
        <v>2162</v>
      </c>
      <c r="J21" s="101">
        <v>10830</v>
      </c>
      <c r="K21" s="101">
        <v>73166</v>
      </c>
      <c r="L21" s="101">
        <v>67421</v>
      </c>
      <c r="M21" s="101">
        <v>68699</v>
      </c>
      <c r="N21" s="106">
        <v>41</v>
      </c>
      <c r="O21" s="105">
        <v>63</v>
      </c>
      <c r="P21" s="100">
        <v>1787</v>
      </c>
      <c r="Q21" s="99">
        <f t="shared" si="3"/>
        <v>57.5</v>
      </c>
      <c r="R21" s="99">
        <f t="shared" si="2"/>
        <v>8663</v>
      </c>
      <c r="W21" s="66"/>
      <c r="X21" s="66"/>
      <c r="Y21" s="66"/>
      <c r="Z21" s="66"/>
      <c r="AA21" s="66"/>
      <c r="AB21" s="97">
        <f>SUMIF(NERSA2017!$D$2:$D$131,A21,NERSA2017!$O$2:$O$131)/1000000</f>
        <v>6.4999999999999994E-5</v>
      </c>
      <c r="AC21" s="329"/>
      <c r="AD21" s="329"/>
      <c r="AE21" s="329"/>
      <c r="AF21" s="329"/>
      <c r="AG21" s="329"/>
      <c r="AH21" s="45"/>
      <c r="AI21" s="45"/>
      <c r="AJ21" s="45"/>
      <c r="AK21" s="45"/>
    </row>
    <row r="22" spans="1:151" x14ac:dyDescent="0.2">
      <c r="A22" s="81" t="s">
        <v>561</v>
      </c>
      <c r="B22" s="84">
        <v>42</v>
      </c>
      <c r="C22" s="83">
        <v>31048</v>
      </c>
      <c r="D22" s="83">
        <v>31048</v>
      </c>
      <c r="E22" s="96">
        <v>0</v>
      </c>
      <c r="F22" s="81" t="s">
        <v>543</v>
      </c>
      <c r="G22" s="103"/>
      <c r="H22" s="103"/>
      <c r="I22" s="103"/>
      <c r="J22" s="103"/>
      <c r="K22" s="103"/>
      <c r="L22" s="103"/>
      <c r="M22" s="103"/>
      <c r="N22" s="103"/>
      <c r="O22" s="104"/>
      <c r="P22" s="100"/>
      <c r="Q22" s="99">
        <f t="shared" si="3"/>
        <v>0</v>
      </c>
      <c r="R22" s="99">
        <f t="shared" si="2"/>
        <v>0</v>
      </c>
      <c r="W22" s="66"/>
      <c r="X22" s="66"/>
      <c r="Y22" s="66"/>
      <c r="Z22" s="66"/>
      <c r="AA22" s="66"/>
      <c r="AB22" s="97">
        <f>SUMIF(NERSA2017!$D$2:$D$131,A22,NERSA2017!$O$2:$O$131)/1000000</f>
        <v>0</v>
      </c>
      <c r="AC22" s="45"/>
      <c r="AD22" s="45"/>
      <c r="AE22" s="45"/>
      <c r="AF22" s="45"/>
      <c r="AG22" s="45"/>
      <c r="AH22" s="45"/>
      <c r="AI22" s="45"/>
      <c r="AJ22" s="45"/>
      <c r="AK22" s="45"/>
    </row>
    <row r="23" spans="1:151" x14ac:dyDescent="0.2">
      <c r="A23" s="81" t="s">
        <v>560</v>
      </c>
      <c r="B23" s="84">
        <v>6</v>
      </c>
      <c r="C23" s="83">
        <v>28887</v>
      </c>
      <c r="D23" s="83">
        <v>28887</v>
      </c>
      <c r="E23" s="96">
        <v>0</v>
      </c>
      <c r="F23" s="81" t="s">
        <v>543</v>
      </c>
      <c r="G23" s="103"/>
      <c r="H23" s="103"/>
      <c r="I23" s="103"/>
      <c r="J23" s="103"/>
      <c r="K23" s="103"/>
      <c r="L23" s="103"/>
      <c r="M23" s="103"/>
      <c r="N23" s="103"/>
      <c r="O23" s="104"/>
      <c r="P23" s="100"/>
      <c r="Q23" s="99">
        <f t="shared" si="3"/>
        <v>0</v>
      </c>
      <c r="R23" s="99">
        <f t="shared" si="2"/>
        <v>0</v>
      </c>
      <c r="W23" s="66"/>
      <c r="X23" s="66"/>
      <c r="Y23" s="66"/>
      <c r="Z23" s="66"/>
      <c r="AA23" s="66"/>
      <c r="AB23" s="97">
        <f>SUMIF(NERSA2017!$D$2:$D$131,A23,NERSA2017!$O$2:$O$131)/1000000</f>
        <v>0</v>
      </c>
      <c r="AC23" s="45"/>
      <c r="AD23" s="45"/>
      <c r="AE23" s="45"/>
      <c r="AF23" s="45"/>
      <c r="AG23" s="45"/>
      <c r="AH23" s="45"/>
      <c r="AI23" s="45"/>
      <c r="AJ23" s="45"/>
      <c r="AK23" s="45"/>
    </row>
    <row r="24" spans="1:151" ht="14.1" customHeight="1" x14ac:dyDescent="0.2">
      <c r="A24" s="81" t="s">
        <v>559</v>
      </c>
      <c r="B24" s="84">
        <v>360</v>
      </c>
      <c r="C24" s="83">
        <v>26184</v>
      </c>
      <c r="D24" s="83">
        <v>26184</v>
      </c>
      <c r="E24" s="82" t="s">
        <v>558</v>
      </c>
      <c r="F24" s="81" t="s">
        <v>543</v>
      </c>
      <c r="G24" s="103"/>
      <c r="H24" s="103"/>
      <c r="I24" s="103"/>
      <c r="J24" s="103"/>
      <c r="K24" s="103"/>
      <c r="L24" s="103"/>
      <c r="M24" s="103"/>
      <c r="N24" s="103"/>
      <c r="O24" s="102">
        <v>341174</v>
      </c>
      <c r="P24" s="100">
        <v>1029000</v>
      </c>
      <c r="Q24" s="99">
        <f t="shared" si="3"/>
        <v>255880.5</v>
      </c>
      <c r="R24" s="99">
        <f t="shared" si="2"/>
        <v>0</v>
      </c>
      <c r="S24" s="45"/>
      <c r="T24" s="45"/>
      <c r="U24" s="45"/>
      <c r="V24" s="45"/>
      <c r="W24" s="66"/>
      <c r="X24" s="66"/>
      <c r="Y24" s="66"/>
      <c r="Z24" s="66"/>
      <c r="AA24" s="66"/>
      <c r="AB24" s="97">
        <f>SUMIF(NERSA2017!$D$2:$D$131,A24,NERSA2017!$O$2:$O$131)/1000000</f>
        <v>0.34170116000000006</v>
      </c>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5"/>
      <c r="BG24" s="45"/>
      <c r="BH24" s="45"/>
      <c r="BI24" s="45"/>
      <c r="BJ24" s="45"/>
      <c r="BK24" s="45"/>
      <c r="BL24" s="45"/>
      <c r="BM24" s="45"/>
      <c r="BN24" s="45"/>
      <c r="BO24" s="45"/>
      <c r="BP24" s="45"/>
      <c r="BQ24" s="45"/>
      <c r="BR24" s="45"/>
      <c r="BS24" s="45"/>
      <c r="BT24" s="45"/>
      <c r="BU24" s="45"/>
      <c r="BV24" s="45"/>
      <c r="BW24" s="45"/>
      <c r="BX24" s="45"/>
      <c r="BY24" s="45"/>
      <c r="BZ24" s="45"/>
      <c r="CA24" s="45"/>
      <c r="CB24" s="45"/>
      <c r="CC24" s="45"/>
      <c r="CD24" s="45"/>
      <c r="CE24" s="45"/>
      <c r="CF24" s="45"/>
      <c r="CG24" s="45"/>
      <c r="CH24" s="45"/>
      <c r="CI24" s="45"/>
      <c r="CJ24" s="45"/>
      <c r="CK24" s="45"/>
      <c r="CL24" s="45"/>
      <c r="CM24" s="45"/>
      <c r="CN24" s="45"/>
      <c r="CO24" s="45"/>
      <c r="CP24" s="45"/>
      <c r="CQ24" s="45"/>
      <c r="CR24" s="45"/>
      <c r="CS24" s="45"/>
      <c r="CT24" s="45"/>
      <c r="CU24" s="45"/>
      <c r="CV24" s="45"/>
      <c r="CW24" s="45"/>
      <c r="CX24" s="45"/>
      <c r="CY24" s="45"/>
      <c r="CZ24" s="45"/>
      <c r="DA24" s="45"/>
      <c r="DB24" s="45"/>
      <c r="DC24" s="45"/>
      <c r="DD24" s="45"/>
      <c r="DE24" s="45"/>
      <c r="DF24" s="45"/>
      <c r="DG24" s="45"/>
      <c r="DH24" s="45"/>
      <c r="DI24" s="45"/>
      <c r="DJ24" s="45"/>
      <c r="DK24" s="45"/>
      <c r="DL24" s="45"/>
      <c r="DM24" s="45"/>
      <c r="DN24" s="45"/>
      <c r="DO24" s="45"/>
      <c r="DP24" s="45"/>
      <c r="DQ24" s="45"/>
      <c r="DR24" s="45"/>
      <c r="DS24" s="45"/>
      <c r="DT24" s="45"/>
      <c r="DU24" s="45"/>
      <c r="DV24" s="45"/>
      <c r="DW24" s="45"/>
      <c r="DX24" s="45"/>
      <c r="DY24" s="45"/>
      <c r="DZ24" s="45"/>
      <c r="EA24" s="45"/>
      <c r="EB24" s="45"/>
      <c r="EC24" s="45"/>
      <c r="ED24" s="45"/>
      <c r="EE24" s="45"/>
      <c r="EF24" s="45"/>
      <c r="EG24" s="45"/>
      <c r="EH24" s="45"/>
      <c r="EI24" s="45"/>
      <c r="EJ24" s="45"/>
      <c r="EK24" s="45"/>
      <c r="EL24" s="45"/>
      <c r="EM24" s="45"/>
      <c r="EN24" s="45"/>
      <c r="EO24" s="45"/>
      <c r="EP24" s="45"/>
      <c r="EQ24" s="45"/>
      <c r="ER24" s="45"/>
      <c r="ES24" s="45"/>
      <c r="ET24" s="45"/>
      <c r="EU24" s="45"/>
    </row>
    <row r="25" spans="1:151" ht="14.1" customHeight="1" x14ac:dyDescent="0.2">
      <c r="A25" s="81" t="s">
        <v>557</v>
      </c>
      <c r="B25" s="84">
        <v>2</v>
      </c>
      <c r="C25" s="83">
        <v>30376</v>
      </c>
      <c r="D25" s="83">
        <v>30376</v>
      </c>
      <c r="E25" s="96">
        <v>0</v>
      </c>
      <c r="F25" s="81" t="s">
        <v>543</v>
      </c>
      <c r="G25" s="103"/>
      <c r="H25" s="103"/>
      <c r="I25" s="103"/>
      <c r="J25" s="103"/>
      <c r="K25" s="103"/>
      <c r="L25" s="103"/>
      <c r="M25" s="103"/>
      <c r="N25" s="103"/>
      <c r="O25" s="104"/>
      <c r="P25" s="100"/>
      <c r="Q25" s="99">
        <f t="shared" si="3"/>
        <v>0</v>
      </c>
      <c r="R25" s="99">
        <f t="shared" si="2"/>
        <v>0</v>
      </c>
      <c r="S25" s="45"/>
      <c r="T25" s="45"/>
      <c r="U25" s="45"/>
      <c r="V25" s="45"/>
      <c r="W25" s="66"/>
      <c r="X25" s="66"/>
      <c r="Y25" s="66"/>
      <c r="Z25" s="66"/>
      <c r="AA25" s="66"/>
      <c r="AB25" s="97">
        <f>SUMIF(NERSA2017!$D$2:$D$131,A25,NERSA2017!$O$2:$O$131)/1000000</f>
        <v>1.7395432999999995E-3</v>
      </c>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5"/>
      <c r="BF25" s="45"/>
      <c r="BG25" s="45"/>
      <c r="BH25" s="45"/>
      <c r="BI25" s="45"/>
      <c r="BJ25" s="45"/>
      <c r="BK25" s="45"/>
      <c r="BL25" s="45"/>
      <c r="BM25" s="45"/>
      <c r="BN25" s="45"/>
      <c r="BO25" s="45"/>
      <c r="BP25" s="45"/>
      <c r="BQ25" s="45"/>
      <c r="BR25" s="45"/>
      <c r="BS25" s="45"/>
      <c r="BT25" s="45"/>
      <c r="BU25" s="45"/>
      <c r="BV25" s="45"/>
      <c r="BW25" s="45"/>
      <c r="BX25" s="45"/>
      <c r="BY25" s="45"/>
      <c r="BZ25" s="45"/>
      <c r="CA25" s="45"/>
      <c r="CB25" s="45"/>
      <c r="CC25" s="45"/>
      <c r="CD25" s="45"/>
      <c r="CE25" s="45"/>
      <c r="CF25" s="45"/>
      <c r="CG25" s="45"/>
      <c r="CH25" s="45"/>
      <c r="CI25" s="45"/>
      <c r="CJ25" s="45"/>
      <c r="CK25" s="45"/>
      <c r="CL25" s="45"/>
      <c r="CM25" s="45"/>
      <c r="CN25" s="45"/>
      <c r="CO25" s="45"/>
      <c r="CP25" s="45"/>
      <c r="CQ25" s="45"/>
      <c r="CR25" s="45"/>
      <c r="CS25" s="45"/>
      <c r="CT25" s="45"/>
      <c r="CU25" s="45"/>
      <c r="CV25" s="45"/>
      <c r="CW25" s="45"/>
      <c r="CX25" s="45"/>
      <c r="CY25" s="45"/>
      <c r="CZ25" s="45"/>
      <c r="DA25" s="45"/>
      <c r="DB25" s="45"/>
      <c r="DC25" s="45"/>
      <c r="DD25" s="45"/>
      <c r="DE25" s="45"/>
      <c r="DF25" s="45"/>
      <c r="DG25" s="45"/>
      <c r="DH25" s="45"/>
      <c r="DI25" s="45"/>
      <c r="DJ25" s="45"/>
      <c r="DK25" s="45"/>
      <c r="DL25" s="45"/>
      <c r="DM25" s="45"/>
      <c r="DN25" s="45"/>
      <c r="DO25" s="45"/>
      <c r="DP25" s="45"/>
      <c r="DQ25" s="45"/>
      <c r="DR25" s="45"/>
      <c r="DS25" s="45"/>
      <c r="DT25" s="45"/>
      <c r="DU25" s="45"/>
      <c r="DV25" s="45"/>
      <c r="DW25" s="45"/>
      <c r="DX25" s="45"/>
      <c r="DY25" s="45"/>
      <c r="DZ25" s="45"/>
      <c r="EA25" s="45"/>
      <c r="EB25" s="45"/>
      <c r="EC25" s="45"/>
      <c r="ED25" s="45"/>
      <c r="EE25" s="45"/>
      <c r="EF25" s="45"/>
      <c r="EG25" s="45"/>
      <c r="EH25" s="45"/>
      <c r="EI25" s="45"/>
      <c r="EJ25" s="45"/>
      <c r="EK25" s="45"/>
      <c r="EL25" s="45"/>
      <c r="EM25" s="45"/>
      <c r="EN25" s="45"/>
      <c r="EO25" s="45"/>
      <c r="EP25" s="45"/>
      <c r="EQ25" s="45"/>
      <c r="ER25" s="45"/>
      <c r="ES25" s="45"/>
      <c r="ET25" s="45"/>
      <c r="EU25" s="45"/>
    </row>
    <row r="26" spans="1:151" ht="14.1" customHeight="1" x14ac:dyDescent="0.2">
      <c r="A26" s="81" t="s">
        <v>556</v>
      </c>
      <c r="B26" s="84">
        <v>11</v>
      </c>
      <c r="C26" s="83">
        <v>28946</v>
      </c>
      <c r="D26" s="83">
        <v>28946</v>
      </c>
      <c r="E26" s="96">
        <v>0</v>
      </c>
      <c r="F26" s="81" t="s">
        <v>543</v>
      </c>
      <c r="G26" s="103"/>
      <c r="H26" s="103"/>
      <c r="I26" s="103"/>
      <c r="J26" s="103"/>
      <c r="K26" s="103"/>
      <c r="L26" s="103"/>
      <c r="M26" s="103"/>
      <c r="N26" s="103"/>
      <c r="O26" s="104"/>
      <c r="P26" s="100"/>
      <c r="Q26" s="99">
        <f t="shared" si="3"/>
        <v>0</v>
      </c>
      <c r="R26" s="99">
        <f t="shared" si="2"/>
        <v>0</v>
      </c>
      <c r="W26" s="66"/>
      <c r="X26" s="66"/>
      <c r="Y26" s="66"/>
      <c r="Z26" s="66"/>
      <c r="AA26" s="66"/>
      <c r="AB26" s="97">
        <f>SUMIF(NERSA2017!$D$2:$D$131,A26,NERSA2017!$O$2:$O$131)/1000000</f>
        <v>0</v>
      </c>
    </row>
    <row r="27" spans="1:151" ht="14.1" customHeight="1" x14ac:dyDescent="0.2">
      <c r="A27" s="81" t="s">
        <v>555</v>
      </c>
      <c r="B27" s="84">
        <v>240</v>
      </c>
      <c r="C27" s="83">
        <v>28126</v>
      </c>
      <c r="D27" s="83">
        <v>28126</v>
      </c>
      <c r="E27" s="82" t="s">
        <v>554</v>
      </c>
      <c r="F27" s="81" t="s">
        <v>543</v>
      </c>
      <c r="G27" s="103"/>
      <c r="H27" s="103"/>
      <c r="I27" s="103"/>
      <c r="J27" s="103"/>
      <c r="K27" s="103"/>
      <c r="L27" s="103"/>
      <c r="M27" s="103"/>
      <c r="N27" s="103"/>
      <c r="O27" s="104"/>
      <c r="P27" s="100"/>
      <c r="Q27" s="99">
        <f t="shared" si="3"/>
        <v>0</v>
      </c>
      <c r="R27" s="99">
        <f t="shared" si="2"/>
        <v>0</v>
      </c>
      <c r="W27" s="66"/>
      <c r="X27" s="66"/>
      <c r="Y27" s="66"/>
      <c r="Z27" s="66"/>
      <c r="AA27" s="66"/>
      <c r="AB27" s="97">
        <f>SUMIF(NERSA2017!$D$2:$D$131,A27,NERSA2017!$O$2:$O$131)/1000000</f>
        <v>0</v>
      </c>
    </row>
    <row r="28" spans="1:151" ht="14.1" customHeight="1" x14ac:dyDescent="0.2">
      <c r="A28" s="81" t="s">
        <v>553</v>
      </c>
      <c r="B28" s="84">
        <v>1000</v>
      </c>
      <c r="C28" s="83">
        <v>29754</v>
      </c>
      <c r="D28" s="83">
        <v>29754</v>
      </c>
      <c r="E28" s="82" t="s">
        <v>552</v>
      </c>
      <c r="F28" s="81" t="s">
        <v>543</v>
      </c>
      <c r="G28" s="103"/>
      <c r="H28" s="103"/>
      <c r="I28" s="103"/>
      <c r="J28" s="103"/>
      <c r="K28" s="103"/>
      <c r="L28" s="103"/>
      <c r="M28" s="103"/>
      <c r="N28" s="103"/>
      <c r="O28" s="102">
        <v>1464051</v>
      </c>
      <c r="P28" s="100"/>
      <c r="Q28" s="99">
        <f t="shared" si="3"/>
        <v>1098038.25</v>
      </c>
      <c r="R28" s="99">
        <f t="shared" si="2"/>
        <v>0</v>
      </c>
      <c r="W28" s="66"/>
      <c r="X28" s="66"/>
      <c r="Y28" s="66"/>
      <c r="Z28" s="66"/>
      <c r="AA28" s="66"/>
      <c r="AB28" s="97">
        <f>SUMIF(NERSA2017!$D$2:$D$131,A28,NERSA2017!$O$2:$O$131)/1000000</f>
        <v>-0.88552982000000002</v>
      </c>
    </row>
    <row r="29" spans="1:151" ht="14.1" customHeight="1" x14ac:dyDescent="0.2">
      <c r="A29" s="81" t="s">
        <v>551</v>
      </c>
      <c r="B29" s="84">
        <v>400</v>
      </c>
      <c r="C29" s="83">
        <v>32251</v>
      </c>
      <c r="D29" s="83">
        <v>32251</v>
      </c>
      <c r="E29" s="82" t="s">
        <v>550</v>
      </c>
      <c r="F29" s="81" t="s">
        <v>543</v>
      </c>
      <c r="G29" s="103"/>
      <c r="H29" s="103"/>
      <c r="I29" s="103"/>
      <c r="J29" s="103"/>
      <c r="K29" s="103"/>
      <c r="L29" s="103"/>
      <c r="M29" s="103"/>
      <c r="N29" s="103"/>
      <c r="O29" s="102">
        <v>705005</v>
      </c>
      <c r="P29" s="100"/>
      <c r="Q29" s="99">
        <f t="shared" si="3"/>
        <v>528753.75</v>
      </c>
      <c r="R29" s="99">
        <f t="shared" si="2"/>
        <v>0</v>
      </c>
      <c r="W29" s="66"/>
      <c r="X29" s="66"/>
      <c r="Y29" s="66"/>
      <c r="Z29" s="66"/>
      <c r="AA29" s="66"/>
      <c r="AB29" s="97">
        <f>SUMIF(NERSA2017!$D$2:$D$131,A29,NERSA2017!$O$2:$O$131)/1000000</f>
        <v>-0.18672351000000001</v>
      </c>
    </row>
    <row r="30" spans="1:151" ht="14.1" customHeight="1" x14ac:dyDescent="0.2">
      <c r="A30" s="81" t="s">
        <v>549</v>
      </c>
      <c r="B30" s="84">
        <v>1600</v>
      </c>
      <c r="C30" s="83">
        <v>24462</v>
      </c>
      <c r="D30" s="83">
        <v>38504</v>
      </c>
      <c r="E30" s="82" t="s">
        <v>548</v>
      </c>
      <c r="F30" s="81" t="s">
        <v>543</v>
      </c>
      <c r="G30" s="101">
        <v>7472070</v>
      </c>
      <c r="H30" s="101">
        <v>7490836</v>
      </c>
      <c r="I30" s="101">
        <v>7267648</v>
      </c>
      <c r="J30" s="101">
        <v>8379789</v>
      </c>
      <c r="K30" s="101">
        <v>8727143</v>
      </c>
      <c r="L30" s="101">
        <v>8336111</v>
      </c>
      <c r="M30" s="101">
        <v>7947972</v>
      </c>
      <c r="N30" s="101">
        <v>7763734</v>
      </c>
      <c r="O30" s="100">
        <v>6777927</v>
      </c>
      <c r="P30" s="100">
        <v>6972647</v>
      </c>
      <c r="Q30" s="99">
        <f t="shared" si="3"/>
        <v>7024378.75</v>
      </c>
      <c r="R30" s="99">
        <f t="shared" si="2"/>
        <v>8101753.75</v>
      </c>
      <c r="W30" s="66">
        <f>Q30*'eskom fuel 2009-YTD'!$P$34/'eskom fuel 2009-YTD'!$P$33/1000000</f>
        <v>7.0202190727415328</v>
      </c>
      <c r="X30" s="66"/>
      <c r="Y30" s="66"/>
      <c r="Z30" s="66"/>
      <c r="AA30" s="66"/>
      <c r="AB30" s="97">
        <f>SUMIF(NERSA2017!$D$2:$D$131,A30,NERSA2017!$O$2:$O$131)/1000000</f>
        <v>6.6586663899999987</v>
      </c>
    </row>
    <row r="31" spans="1:151" ht="14.1" customHeight="1" x14ac:dyDescent="0.2">
      <c r="A31" s="81" t="s">
        <v>547</v>
      </c>
      <c r="B31" s="84">
        <v>1200</v>
      </c>
      <c r="C31" s="83">
        <v>25384</v>
      </c>
      <c r="D31" s="83">
        <v>25384</v>
      </c>
      <c r="E31" s="82" t="s">
        <v>546</v>
      </c>
      <c r="F31" s="81" t="s">
        <v>543</v>
      </c>
      <c r="G31" s="101">
        <v>2656230</v>
      </c>
      <c r="H31" s="101">
        <v>3546952</v>
      </c>
      <c r="I31" s="101">
        <v>6094910</v>
      </c>
      <c r="J31" s="101">
        <v>5491180</v>
      </c>
      <c r="K31" s="101">
        <v>7345967</v>
      </c>
      <c r="L31" s="101">
        <v>6144207</v>
      </c>
      <c r="M31" s="101">
        <v>5273434</v>
      </c>
      <c r="N31" s="101">
        <v>4545234</v>
      </c>
      <c r="O31" s="100">
        <v>3295218</v>
      </c>
      <c r="P31" s="100">
        <v>2703531</v>
      </c>
      <c r="Q31" s="99">
        <f t="shared" si="3"/>
        <v>3607722</v>
      </c>
      <c r="R31" s="99">
        <f t="shared" si="2"/>
        <v>5642112.5</v>
      </c>
      <c r="W31" s="66">
        <f>Q31*'eskom fuel 2009-YTD'!$P$34/'eskom fuel 2009-YTD'!$P$33/1000000</f>
        <v>3.6055855891240527</v>
      </c>
      <c r="X31" s="66"/>
      <c r="Y31" s="66"/>
      <c r="Z31" s="66"/>
      <c r="AA31" s="66"/>
      <c r="AB31" s="97">
        <f>SUMIF(NERSA2017!$D$2:$D$131,A31,NERSA2017!$O$2:$O$131)/1000000</f>
        <v>3.5216568700000006</v>
      </c>
    </row>
    <row r="32" spans="1:151" ht="14.1" customHeight="1" x14ac:dyDescent="0.2">
      <c r="A32" s="81" t="s">
        <v>545</v>
      </c>
      <c r="B32" s="84">
        <v>1000</v>
      </c>
      <c r="C32" s="83">
        <v>22591</v>
      </c>
      <c r="D32" s="83">
        <v>22591</v>
      </c>
      <c r="E32" s="82" t="s">
        <v>544</v>
      </c>
      <c r="F32" s="81" t="s">
        <v>543</v>
      </c>
      <c r="G32" s="101">
        <v>1016023</v>
      </c>
      <c r="H32" s="101">
        <v>2060141</v>
      </c>
      <c r="I32" s="101">
        <v>2398132</v>
      </c>
      <c r="J32" s="101">
        <v>4104105</v>
      </c>
      <c r="K32" s="101">
        <v>5059255</v>
      </c>
      <c r="L32" s="101">
        <v>4066079</v>
      </c>
      <c r="M32" s="101">
        <v>4241812</v>
      </c>
      <c r="N32" s="101">
        <v>4123522</v>
      </c>
      <c r="O32" s="100">
        <v>2209493</v>
      </c>
      <c r="P32" s="100">
        <v>2064923</v>
      </c>
      <c r="Q32" s="99">
        <f t="shared" si="3"/>
        <v>2688000.25</v>
      </c>
      <c r="R32" s="99">
        <f t="shared" si="2"/>
        <v>3677611.75</v>
      </c>
      <c r="W32" s="66">
        <f>Q32*'eskom fuel 2009-YTD'!$P$34/'eskom fuel 2009-YTD'!$P$33/1000000</f>
        <v>2.6864084774164558</v>
      </c>
      <c r="X32" s="66"/>
      <c r="Y32" s="66"/>
      <c r="Z32" s="66"/>
      <c r="AA32" s="66"/>
      <c r="AB32" s="97">
        <f>SUMIF(NERSA2017!$D$2:$D$131,A32,NERSA2017!$O$2:$O$131)/1000000</f>
        <v>2.41877633</v>
      </c>
    </row>
    <row r="33" spans="1:30" ht="14.1" customHeight="1" x14ac:dyDescent="0.2">
      <c r="A33" s="94"/>
      <c r="B33" s="93"/>
      <c r="C33" s="93"/>
      <c r="D33" s="93"/>
      <c r="E33" s="93"/>
      <c r="F33" s="93"/>
      <c r="G33" s="525"/>
      <c r="H33" s="526"/>
      <c r="I33" s="526"/>
      <c r="J33" s="526"/>
      <c r="K33" s="526"/>
      <c r="L33" s="526"/>
      <c r="M33" s="526"/>
      <c r="N33" s="526"/>
      <c r="O33" s="92"/>
      <c r="Q33" s="77">
        <f>SUM(Q5:Q32)/1000000</f>
        <v>215.96330573</v>
      </c>
      <c r="AB33" s="97"/>
    </row>
    <row r="34" spans="1:30" x14ac:dyDescent="0.2">
      <c r="N34" s="77" t="s">
        <v>542</v>
      </c>
      <c r="O34" s="98">
        <f>(SUM(O5:O15)+SUM(O30:O32))/1000000</f>
        <v>198.375956</v>
      </c>
      <c r="Q34" s="98">
        <f>(SUM(Q5:Q16)+SUM(Q30:Q32))/1000000</f>
        <v>199.79182747999999</v>
      </c>
      <c r="S34" s="77" t="s">
        <v>541</v>
      </c>
      <c r="W34" s="66">
        <f>SUM(W5:W32)</f>
        <v>199.67433227309505</v>
      </c>
      <c r="X34" s="66"/>
      <c r="Y34" s="66"/>
      <c r="Z34" s="66"/>
      <c r="AA34" s="66"/>
      <c r="AB34" s="97">
        <f>SUM(AB5:AB16)+SUM(AB30:AB32)</f>
        <v>196.63039812000002</v>
      </c>
    </row>
    <row r="35" spans="1:30" x14ac:dyDescent="0.2">
      <c r="A35" s="81" t="s">
        <v>416</v>
      </c>
      <c r="B35" s="84">
        <v>1980</v>
      </c>
      <c r="C35" s="83">
        <v>26197</v>
      </c>
      <c r="D35" s="83">
        <v>26197</v>
      </c>
      <c r="E35" s="82" t="s">
        <v>511</v>
      </c>
      <c r="F35" s="81" t="s">
        <v>517</v>
      </c>
      <c r="G35" s="80">
        <f>(G5*3.6)/('eskom fuel 2009-YTD'!G5*'eskom fuel 2009-YTD'!G44)</f>
        <v>0.3260015416445326</v>
      </c>
      <c r="H35" s="80">
        <f>(H5*3.6)/('eskom fuel 2009-YTD'!H5*'eskom fuel 2009-YTD'!H44)</f>
        <v>0.31290780264173895</v>
      </c>
      <c r="I35" s="80">
        <f>(I5*3.6)/('eskom fuel 2009-YTD'!I5*'eskom fuel 2009-YTD'!I44)</f>
        <v>0.29104890382863846</v>
      </c>
      <c r="J35" s="80">
        <f>(J5*3.6)/('eskom fuel 2009-YTD'!J5*'eskom fuel 2009-YTD'!J44)</f>
        <v>0.29841710997385767</v>
      </c>
      <c r="K35" s="80">
        <f>(K5*3.6)/('eskom fuel 2009-YTD'!K5*'eskom fuel 2009-YTD'!K44)</f>
        <v>0.29924034966011298</v>
      </c>
      <c r="L35" s="80">
        <f>(L5*3.6)/('eskom fuel 2009-YTD'!L5*'eskom fuel 2009-YTD'!L44)</f>
        <v>0.29607204939139947</v>
      </c>
      <c r="M35" s="80">
        <f>(M5*3.6)/('eskom fuel 2009-YTD'!M5*'eskom fuel 2009-YTD'!M44)</f>
        <v>0.28832415011058082</v>
      </c>
      <c r="N35" s="80">
        <f>(N5*3.6)/('eskom fuel 2009-YTD'!N5*'eskom fuel 2009-YTD'!N44)</f>
        <v>0.18917170567932728</v>
      </c>
      <c r="O35" s="80">
        <f>(O5*3.6)/('eskom fuel 2009-YTD'!O5*'eskom fuel 2009-YTD'!O44)</f>
        <v>0.32825626740449204</v>
      </c>
      <c r="Q35" s="80">
        <f>(Q5*3.6)/('eskom fuel 2009-YTD'!P5*'eskom fuel 2009-YTD'!P44)</f>
        <v>0.31</v>
      </c>
      <c r="S35" s="77" t="s">
        <v>486</v>
      </c>
      <c r="W35" s="66">
        <f>NERSA2018!K150/1000000</f>
        <v>1.707095</v>
      </c>
      <c r="X35" s="66"/>
      <c r="Y35" s="66"/>
      <c r="Z35" s="66"/>
      <c r="AA35" s="66"/>
      <c r="AB35" s="97"/>
      <c r="AC35" s="88"/>
      <c r="AD35" s="91"/>
    </row>
    <row r="36" spans="1:30" x14ac:dyDescent="0.2">
      <c r="A36" s="81" t="s">
        <v>466</v>
      </c>
      <c r="B36" s="84">
        <v>3450</v>
      </c>
      <c r="C36" s="83">
        <v>29238</v>
      </c>
      <c r="D36" s="83">
        <v>29238</v>
      </c>
      <c r="E36" s="82" t="s">
        <v>510</v>
      </c>
      <c r="F36" s="81" t="s">
        <v>517</v>
      </c>
      <c r="G36" s="80">
        <f>(G6*3.6)/('eskom fuel 2009-YTD'!G6*'eskom fuel 2009-YTD'!G45)</f>
        <v>0.33797272419142882</v>
      </c>
      <c r="H36" s="80">
        <f>(H6*3.6)/('eskom fuel 2009-YTD'!H6*'eskom fuel 2009-YTD'!H45)</f>
        <v>0.33485443113390018</v>
      </c>
      <c r="I36" s="80">
        <f>(I6*3.6)/('eskom fuel 2009-YTD'!I6*'eskom fuel 2009-YTD'!I45)</f>
        <v>0.33712457102551163</v>
      </c>
      <c r="J36" s="80">
        <f>(J6*3.6)/('eskom fuel 2009-YTD'!J6*'eskom fuel 2009-YTD'!J45)</f>
        <v>0.33606831744582011</v>
      </c>
      <c r="K36" s="80">
        <f>(K6*3.6)/('eskom fuel 2009-YTD'!K6*'eskom fuel 2009-YTD'!K45)</f>
        <v>0.32345205097537727</v>
      </c>
      <c r="L36" s="80">
        <f>(L6*3.6)/('eskom fuel 2009-YTD'!L6*'eskom fuel 2009-YTD'!L45)</f>
        <v>0.31939550860316562</v>
      </c>
      <c r="M36" s="80">
        <f>(M6*3.6)/('eskom fuel 2009-YTD'!M6*'eskom fuel 2009-YTD'!M45)</f>
        <v>0.32520890247994771</v>
      </c>
      <c r="N36" s="80">
        <f>(N6*3.6)/('eskom fuel 2009-YTD'!N6*'eskom fuel 2009-YTD'!N45)</f>
        <v>0.33880832078828277</v>
      </c>
      <c r="O36" s="80">
        <f>(O6*3.6)/('eskom fuel 2009-YTD'!O6*'eskom fuel 2009-YTD'!O45)</f>
        <v>0.28804870826473483</v>
      </c>
      <c r="Q36" s="80">
        <f>(Q6*3.6)/('eskom fuel 2009-YTD'!P6*'eskom fuel 2009-YTD'!P45)</f>
        <v>0.33058235797930735</v>
      </c>
      <c r="S36" s="77" t="s">
        <v>540</v>
      </c>
      <c r="W36" s="66">
        <f>W35+W34</f>
        <v>201.38142727309506</v>
      </c>
      <c r="X36" s="66"/>
      <c r="Y36" s="66"/>
      <c r="Z36" s="66"/>
      <c r="AA36" s="66"/>
      <c r="AB36" s="97"/>
      <c r="AC36" s="88"/>
      <c r="AD36" s="91"/>
    </row>
    <row r="37" spans="1:30" x14ac:dyDescent="0.2">
      <c r="A37" s="81" t="s">
        <v>409</v>
      </c>
      <c r="B37" s="84">
        <v>1895</v>
      </c>
      <c r="C37" s="83">
        <v>25700</v>
      </c>
      <c r="D37" s="83">
        <v>25700</v>
      </c>
      <c r="E37" s="82" t="s">
        <v>509</v>
      </c>
      <c r="F37" s="81" t="s">
        <v>517</v>
      </c>
      <c r="G37" s="80">
        <f>(G7*3.6)/('eskom fuel 2009-YTD'!G7*'eskom fuel 2009-YTD'!G46)</f>
        <v>0.29608055336424133</v>
      </c>
      <c r="H37" s="80">
        <f>(H7*3.6)/('eskom fuel 2009-YTD'!H7*'eskom fuel 2009-YTD'!H46)</f>
        <v>0.28156874269032306</v>
      </c>
      <c r="I37" s="80">
        <f>(I7*3.6)/('eskom fuel 2009-YTD'!I7*'eskom fuel 2009-YTD'!I46)</f>
        <v>0.28053033526765775</v>
      </c>
      <c r="J37" s="80">
        <f>(J7*3.6)/('eskom fuel 2009-YTD'!J7*'eskom fuel 2009-YTD'!J46)</f>
        <v>0.27722664221571269</v>
      </c>
      <c r="K37" s="80">
        <f>(K7*3.6)/('eskom fuel 2009-YTD'!K7*'eskom fuel 2009-YTD'!K46)</f>
        <v>0.2802757448747864</v>
      </c>
      <c r="L37" s="80">
        <f>(L7*3.6)/('eskom fuel 2009-YTD'!L7*'eskom fuel 2009-YTD'!L46)</f>
        <v>0.26195362022620039</v>
      </c>
      <c r="M37" s="80">
        <f>(M7*3.6)/('eskom fuel 2009-YTD'!M7*'eskom fuel 2009-YTD'!M46)</f>
        <v>0.27751483177797281</v>
      </c>
      <c r="N37" s="80">
        <f>(N7*3.6)/('eskom fuel 2009-YTD'!N7*'eskom fuel 2009-YTD'!N46)</f>
        <v>0.27990218120719151</v>
      </c>
      <c r="O37" s="80">
        <f>(O7*3.6)/('eskom fuel 2009-YTD'!O7*'eskom fuel 2009-YTD'!O46)</f>
        <v>0.26384782162448195</v>
      </c>
      <c r="Q37" s="80">
        <f>(Q7*3.6)/('eskom fuel 2009-YTD'!P7*'eskom fuel 2009-YTD'!P46)</f>
        <v>0.26887733443497819</v>
      </c>
      <c r="S37" s="77" t="s">
        <v>512</v>
      </c>
      <c r="W37" s="66">
        <f>HistoricalDispatch!B4/1000000</f>
        <v>201.59838799999949</v>
      </c>
      <c r="X37" s="66"/>
      <c r="Y37" s="66"/>
      <c r="Z37" s="66"/>
      <c r="AA37" s="66"/>
      <c r="AB37" s="97"/>
      <c r="AC37" s="88"/>
      <c r="AD37" s="91"/>
    </row>
    <row r="38" spans="1:30" x14ac:dyDescent="0.2">
      <c r="A38" s="81" t="s">
        <v>455</v>
      </c>
      <c r="B38" s="84">
        <v>3840</v>
      </c>
      <c r="C38" s="83">
        <v>32417</v>
      </c>
      <c r="D38" s="83">
        <v>32417</v>
      </c>
      <c r="E38" s="82" t="s">
        <v>508</v>
      </c>
      <c r="F38" s="81" t="s">
        <v>517</v>
      </c>
      <c r="G38" s="80">
        <f>(G8*3.6)/('eskom fuel 2009-YTD'!G8*'eskom fuel 2009-YTD'!G47)</f>
        <v>0.32015504950923329</v>
      </c>
      <c r="H38" s="80">
        <f>(H8*3.6)/('eskom fuel 2009-YTD'!H8*'eskom fuel 2009-YTD'!H47)</f>
        <v>0.32194682884072934</v>
      </c>
      <c r="I38" s="80">
        <f>(I8*3.6)/('eskom fuel 2009-YTD'!I8*'eskom fuel 2009-YTD'!I47)</f>
        <v>0.32636704892420293</v>
      </c>
      <c r="J38" s="80">
        <f>(J8*3.6)/('eskom fuel 2009-YTD'!J8*'eskom fuel 2009-YTD'!J47)</f>
        <v>0.32433008457154838</v>
      </c>
      <c r="K38" s="80">
        <f>(K8*3.6)/('eskom fuel 2009-YTD'!K8*'eskom fuel 2009-YTD'!K47)</f>
        <v>0.31779532622768941</v>
      </c>
      <c r="L38" s="80">
        <f>(L8*3.6)/('eskom fuel 2009-YTD'!L8*'eskom fuel 2009-YTD'!L47)</f>
        <v>0.33209833597554722</v>
      </c>
      <c r="M38" s="80">
        <f>(M8*3.6)/('eskom fuel 2009-YTD'!M8*'eskom fuel 2009-YTD'!M47)</f>
        <v>0.32534062664190411</v>
      </c>
      <c r="N38" s="80">
        <f>(N8*3.6)/('eskom fuel 2009-YTD'!N8*'eskom fuel 2009-YTD'!N47)</f>
        <v>0.32453714221152569</v>
      </c>
      <c r="O38" s="80">
        <f>(O8*3.6)/('eskom fuel 2009-YTD'!O8*'eskom fuel 2009-YTD'!O47)</f>
        <v>0.30980243866332968</v>
      </c>
      <c r="Q38" s="80">
        <f>(Q8*3.6)/('eskom fuel 2009-YTD'!P8*'eskom fuel 2009-YTD'!P47)</f>
        <v>0.32453714221152569</v>
      </c>
      <c r="W38" s="88"/>
      <c r="X38" s="88"/>
      <c r="Y38" s="88"/>
      <c r="Z38" s="88"/>
      <c r="AA38" s="88"/>
      <c r="AB38" s="88"/>
      <c r="AC38" s="88"/>
      <c r="AD38" s="91"/>
    </row>
    <row r="39" spans="1:30" x14ac:dyDescent="0.2">
      <c r="A39" s="81" t="s">
        <v>410</v>
      </c>
      <c r="B39" s="84">
        <v>2850</v>
      </c>
      <c r="C39" s="83">
        <v>27886</v>
      </c>
      <c r="D39" s="83">
        <v>27886</v>
      </c>
      <c r="E39" s="82" t="s">
        <v>507</v>
      </c>
      <c r="F39" s="81" t="s">
        <v>517</v>
      </c>
      <c r="G39" s="80">
        <f>(G9*3.6)/('eskom fuel 2009-YTD'!G9*'eskom fuel 2009-YTD'!G48)</f>
        <v>0.33666347196819646</v>
      </c>
      <c r="H39" s="80">
        <f>(H9*3.6)/('eskom fuel 2009-YTD'!H9*'eskom fuel 2009-YTD'!H48)</f>
        <v>0.34395089420432162</v>
      </c>
      <c r="I39" s="80">
        <f>(I9*3.6)/('eskom fuel 2009-YTD'!I9*'eskom fuel 2009-YTD'!I48)</f>
        <v>0.32917278910458031</v>
      </c>
      <c r="J39" s="80">
        <f>(J9*3.6)/('eskom fuel 2009-YTD'!J9*'eskom fuel 2009-YTD'!J48)</f>
        <v>0.33502847668573499</v>
      </c>
      <c r="K39" s="80">
        <f>(K9*3.6)/('eskom fuel 2009-YTD'!K9*'eskom fuel 2009-YTD'!K48)</f>
        <v>0.31908893785471193</v>
      </c>
      <c r="L39" s="80">
        <f>(L9*3.6)/('eskom fuel 2009-YTD'!L9*'eskom fuel 2009-YTD'!L48)</f>
        <v>0.33982932073263256</v>
      </c>
      <c r="M39" s="80">
        <f>(M9*3.6)/('eskom fuel 2009-YTD'!M9*'eskom fuel 2009-YTD'!M48)</f>
        <v>0.33194226262271953</v>
      </c>
      <c r="N39" s="80">
        <f>(N9*3.6)/('eskom fuel 2009-YTD'!N9*'eskom fuel 2009-YTD'!N48)</f>
        <v>0.32990783953183817</v>
      </c>
      <c r="O39" s="80">
        <f>(O9*3.6)/('eskom fuel 2009-YTD'!O9*'eskom fuel 2009-YTD'!O48)</f>
        <v>0.31933046782594537</v>
      </c>
      <c r="Q39" s="80">
        <f>(Q9*3.6)/('eskom fuel 2009-YTD'!P9*'eskom fuel 2009-YTD'!P48)</f>
        <v>0.31292646716362432</v>
      </c>
      <c r="W39" s="88"/>
      <c r="X39" s="88"/>
      <c r="Y39" s="88"/>
      <c r="Z39" s="88"/>
      <c r="AA39" s="88"/>
      <c r="AB39" s="88"/>
      <c r="AC39" s="88"/>
      <c r="AD39" s="91"/>
    </row>
    <row r="40" spans="1:30" x14ac:dyDescent="0.2">
      <c r="A40" s="81" t="s">
        <v>441</v>
      </c>
      <c r="B40" s="84">
        <v>3558</v>
      </c>
      <c r="C40" s="83">
        <v>31403</v>
      </c>
      <c r="D40" s="83">
        <v>31403</v>
      </c>
      <c r="E40" s="82" t="s">
        <v>506</v>
      </c>
      <c r="F40" s="81" t="s">
        <v>517</v>
      </c>
      <c r="G40" s="80">
        <f>(G10*3.6)/('eskom fuel 2009-YTD'!G10*'eskom fuel 2009-YTD'!G49)</f>
        <v>0.34635054366684576</v>
      </c>
      <c r="H40" s="80">
        <f>(H10*3.6)/('eskom fuel 2009-YTD'!H10*'eskom fuel 2009-YTD'!H49)</f>
        <v>0.35374784571328355</v>
      </c>
      <c r="I40" s="80">
        <f>(I10*3.6)/('eskom fuel 2009-YTD'!I10*'eskom fuel 2009-YTD'!I49)</f>
        <v>0.34612185852130012</v>
      </c>
      <c r="J40" s="80">
        <f>(J10*3.6)/('eskom fuel 2009-YTD'!J10*'eskom fuel 2009-YTD'!J49)</f>
        <v>0.34684465101756301</v>
      </c>
      <c r="K40" s="80">
        <f>(K10*3.6)/('eskom fuel 2009-YTD'!K10*'eskom fuel 2009-YTD'!K49)</f>
        <v>0.34894402964984389</v>
      </c>
      <c r="L40" s="80">
        <f>(L10*3.6)/('eskom fuel 2009-YTD'!L10*'eskom fuel 2009-YTD'!L49)</f>
        <v>0.36123087629385231</v>
      </c>
      <c r="M40" s="80">
        <f>(M10*3.6)/('eskom fuel 2009-YTD'!M10*'eskom fuel 2009-YTD'!M49)</f>
        <v>0.34648646751790341</v>
      </c>
      <c r="N40" s="80">
        <f>(N10*3.6)/('eskom fuel 2009-YTD'!N10*'eskom fuel 2009-YTD'!N49)</f>
        <v>0.35220836447980219</v>
      </c>
      <c r="O40" s="80">
        <f>(O10*3.6)/('eskom fuel 2009-YTD'!O10*'eskom fuel 2009-YTD'!O49)</f>
        <v>0.31903846114129775</v>
      </c>
      <c r="Q40" s="80">
        <f>(Q10*3.6)/('eskom fuel 2009-YTD'!P10*'eskom fuel 2009-YTD'!P49)</f>
        <v>0.34</v>
      </c>
      <c r="W40" s="88"/>
      <c r="X40" s="88"/>
      <c r="Y40" s="88"/>
      <c r="Z40" s="88"/>
      <c r="AA40" s="88"/>
      <c r="AB40" s="88"/>
      <c r="AC40" s="88"/>
      <c r="AD40" s="91"/>
    </row>
    <row r="41" spans="1:30" x14ac:dyDescent="0.2">
      <c r="A41" s="81" t="s">
        <v>434</v>
      </c>
      <c r="B41" s="84">
        <v>3690</v>
      </c>
      <c r="C41" s="83">
        <v>32115</v>
      </c>
      <c r="D41" s="83">
        <v>32115</v>
      </c>
      <c r="E41" s="82" t="s">
        <v>505</v>
      </c>
      <c r="F41" s="81" t="s">
        <v>517</v>
      </c>
      <c r="G41" s="80">
        <f>(G11*3.6)/('eskom fuel 2009-YTD'!G11*'eskom fuel 2009-YTD'!G50)</f>
        <v>0.33549324371371037</v>
      </c>
      <c r="H41" s="80">
        <f>(H11*3.6)/('eskom fuel 2009-YTD'!H11*'eskom fuel 2009-YTD'!H50)</f>
        <v>0.33882017667697256</v>
      </c>
      <c r="I41" s="80">
        <f>(I11*3.6)/('eskom fuel 2009-YTD'!I11*'eskom fuel 2009-YTD'!I50)</f>
        <v>0.32764595228763072</v>
      </c>
      <c r="J41" s="80">
        <f>(J11*3.6)/('eskom fuel 2009-YTD'!J11*'eskom fuel 2009-YTD'!J50)</f>
        <v>0.32875797807978469</v>
      </c>
      <c r="K41" s="80">
        <f>(K11*3.6)/('eskom fuel 2009-YTD'!K11*'eskom fuel 2009-YTD'!K50)</f>
        <v>0.32689462500463529</v>
      </c>
      <c r="L41" s="80">
        <f>(L11*3.6)/('eskom fuel 2009-YTD'!L11*'eskom fuel 2009-YTD'!L50)</f>
        <v>0.33144838880477812</v>
      </c>
      <c r="M41" s="80">
        <f>(M11*3.6)/('eskom fuel 2009-YTD'!M11*'eskom fuel 2009-YTD'!M50)</f>
        <v>0.33903891382142665</v>
      </c>
      <c r="N41" s="80">
        <f>(N11*3.6)/('eskom fuel 2009-YTD'!N11*'eskom fuel 2009-YTD'!N50)</f>
        <v>0.34000258749678802</v>
      </c>
      <c r="O41" s="80">
        <f>(O11*3.6)/('eskom fuel 2009-YTD'!O11*'eskom fuel 2009-YTD'!O50)</f>
        <v>0.34216683831977274</v>
      </c>
      <c r="Q41" s="80">
        <f>(Q11*3.6)/('eskom fuel 2009-YTD'!P11*'eskom fuel 2009-YTD'!P50)</f>
        <v>0.34000258749678802</v>
      </c>
      <c r="W41" s="88"/>
      <c r="X41" s="88"/>
      <c r="Y41" s="88"/>
      <c r="Z41" s="88"/>
      <c r="AA41" s="88"/>
      <c r="AB41" s="88"/>
      <c r="AC41" s="88"/>
      <c r="AD41" s="91"/>
    </row>
    <row r="42" spans="1:30" x14ac:dyDescent="0.2">
      <c r="A42" s="81" t="s">
        <v>407</v>
      </c>
      <c r="B42" s="84">
        <v>3843</v>
      </c>
      <c r="C42" s="83">
        <v>35156</v>
      </c>
      <c r="D42" s="83">
        <v>35156</v>
      </c>
      <c r="E42" s="82" t="s">
        <v>504</v>
      </c>
      <c r="F42" s="81" t="s">
        <v>517</v>
      </c>
      <c r="G42" s="80">
        <f>(G12*3.6)/('eskom fuel 2009-YTD'!G12*'eskom fuel 2009-YTD'!G51)</f>
        <v>0.29465016405958994</v>
      </c>
      <c r="H42" s="80">
        <f>(H12*3.6)/('eskom fuel 2009-YTD'!H12*'eskom fuel 2009-YTD'!H51)</f>
        <v>0.30595620732907397</v>
      </c>
      <c r="I42" s="80">
        <f>(I12*3.6)/('eskom fuel 2009-YTD'!I12*'eskom fuel 2009-YTD'!I51)</f>
        <v>0.30273245053457781</v>
      </c>
      <c r="J42" s="80">
        <f>(J12*3.6)/('eskom fuel 2009-YTD'!J12*'eskom fuel 2009-YTD'!J51)</f>
        <v>0.30202900183999692</v>
      </c>
      <c r="K42" s="80">
        <f>(K12*3.6)/('eskom fuel 2009-YTD'!K12*'eskom fuel 2009-YTD'!K51)</f>
        <v>0.294107842502559</v>
      </c>
      <c r="L42" s="80">
        <f>(L12*3.6)/('eskom fuel 2009-YTD'!L12*'eskom fuel 2009-YTD'!L51)</f>
        <v>0.28028856450245593</v>
      </c>
      <c r="M42" s="80">
        <f>(M12*3.6)/('eskom fuel 2009-YTD'!M12*'eskom fuel 2009-YTD'!M51)</f>
        <v>0.29908403788971161</v>
      </c>
      <c r="N42" s="80">
        <f>(N12*3.6)/('eskom fuel 2009-YTD'!N12*'eskom fuel 2009-YTD'!N51)</f>
        <v>0.28948559553980913</v>
      </c>
      <c r="O42" s="80">
        <f>(O12*3.6)/('eskom fuel 2009-YTD'!O12*'eskom fuel 2009-YTD'!O51)</f>
        <v>0.2943429056745982</v>
      </c>
      <c r="Q42" s="80">
        <f>(Q12*3.6)/('eskom fuel 2009-YTD'!P12*'eskom fuel 2009-YTD'!P51)</f>
        <v>0.30514217321295861</v>
      </c>
      <c r="W42" s="88"/>
      <c r="X42" s="88"/>
      <c r="Y42" s="88"/>
      <c r="Z42" s="88"/>
      <c r="AA42" s="88"/>
      <c r="AB42" s="88"/>
      <c r="AC42" s="88"/>
      <c r="AD42" s="91"/>
    </row>
    <row r="43" spans="1:30" x14ac:dyDescent="0.2">
      <c r="A43" s="81" t="s">
        <v>413</v>
      </c>
      <c r="B43" s="84">
        <v>3450</v>
      </c>
      <c r="C43" s="83">
        <v>29127</v>
      </c>
      <c r="D43" s="83">
        <v>29127</v>
      </c>
      <c r="E43" s="82" t="s">
        <v>503</v>
      </c>
      <c r="F43" s="81" t="s">
        <v>517</v>
      </c>
      <c r="G43" s="80">
        <f>(G13*3.6)/('eskom fuel 2009-YTD'!G13*'eskom fuel 2009-YTD'!G52)</f>
        <v>0.33250782635696768</v>
      </c>
      <c r="H43" s="80">
        <f>(H13*3.6)/('eskom fuel 2009-YTD'!H13*'eskom fuel 2009-YTD'!H52)</f>
        <v>0.33327257925778325</v>
      </c>
      <c r="I43" s="80">
        <f>(I13*3.6)/('eskom fuel 2009-YTD'!I13*'eskom fuel 2009-YTD'!I52)</f>
        <v>0.34221305019246429</v>
      </c>
      <c r="J43" s="80">
        <f>(J13*3.6)/('eskom fuel 2009-YTD'!J13*'eskom fuel 2009-YTD'!J52)</f>
        <v>0.34244290065280131</v>
      </c>
      <c r="K43" s="80">
        <f>(K13*3.6)/('eskom fuel 2009-YTD'!K13*'eskom fuel 2009-YTD'!K52)</f>
        <v>0.3435549854685499</v>
      </c>
      <c r="L43" s="80">
        <f>(L13*3.6)/('eskom fuel 2009-YTD'!L13*'eskom fuel 2009-YTD'!L52)</f>
        <v>0.33174046180522448</v>
      </c>
      <c r="M43" s="80">
        <f>(M13*3.6)/('eskom fuel 2009-YTD'!M13*'eskom fuel 2009-YTD'!M52)</f>
        <v>0.33654152149012062</v>
      </c>
      <c r="N43" s="80">
        <f>(N13*3.6)/('eskom fuel 2009-YTD'!N13*'eskom fuel 2009-YTD'!N52)</f>
        <v>0.3448989753303352</v>
      </c>
      <c r="O43" s="80">
        <f>(O13*3.6)/('eskom fuel 2009-YTD'!O13*'eskom fuel 2009-YTD'!O52)</f>
        <v>0.33618216935086948</v>
      </c>
      <c r="Q43" s="80">
        <f>(Q13*3.6)/('eskom fuel 2009-YTD'!P13*'eskom fuel 2009-YTD'!P52)</f>
        <v>0.33160382650844367</v>
      </c>
      <c r="W43" s="88"/>
      <c r="X43" s="88"/>
      <c r="Y43" s="88"/>
      <c r="Z43" s="88"/>
      <c r="AA43" s="88"/>
      <c r="AB43" s="88"/>
      <c r="AC43" s="88"/>
      <c r="AD43" s="91"/>
    </row>
    <row r="44" spans="1:30" x14ac:dyDescent="0.2">
      <c r="A44" s="81" t="s">
        <v>426</v>
      </c>
      <c r="B44" s="84">
        <v>4764</v>
      </c>
      <c r="C44" s="83">
        <v>42238</v>
      </c>
      <c r="D44" s="83">
        <v>42239</v>
      </c>
      <c r="E44" s="82" t="s">
        <v>502</v>
      </c>
      <c r="F44" s="81" t="s">
        <v>517</v>
      </c>
      <c r="G44" s="80" t="e">
        <f>(G14*3.6)/('eskom fuel 2009-YTD'!G14*'eskom fuel 2009-YTD'!G53)</f>
        <v>#DIV/0!</v>
      </c>
      <c r="H44" s="80" t="e">
        <f>(H14*3.6)/('eskom fuel 2009-YTD'!H14*'eskom fuel 2009-YTD'!H53)</f>
        <v>#DIV/0!</v>
      </c>
      <c r="I44" s="80" t="e">
        <f>(I14*3.6)/('eskom fuel 2009-YTD'!I14*'eskom fuel 2009-YTD'!I53)</f>
        <v>#DIV/0!</v>
      </c>
      <c r="J44" s="80" t="e">
        <f>(J14*3.6)/('eskom fuel 2009-YTD'!J14*'eskom fuel 2009-YTD'!J53)</f>
        <v>#DIV/0!</v>
      </c>
      <c r="K44" s="80" t="e">
        <f>(K14*3.6)/('eskom fuel 2009-YTD'!K14*'eskom fuel 2009-YTD'!K53)</f>
        <v>#DIV/0!</v>
      </c>
      <c r="L44" s="80" t="e">
        <f>(L14*3.6)/('eskom fuel 2009-YTD'!L14*'eskom fuel 2009-YTD'!L53)</f>
        <v>#DIV/0!</v>
      </c>
      <c r="M44" s="80" t="e">
        <f>(M14*3.6)/('eskom fuel 2009-YTD'!M14*'eskom fuel 2009-YTD'!M53)</f>
        <v>#DIV/0!</v>
      </c>
      <c r="N44" s="80">
        <f>(N14*3.6)/('eskom fuel 2009-YTD'!N14*'eskom fuel 2009-YTD'!N53)</f>
        <v>0.40977789262021053</v>
      </c>
      <c r="O44" s="80">
        <f>(O14*3.6)/('eskom fuel 2009-YTD'!O14*'eskom fuel 2009-YTD'!O53)</f>
        <v>1.0346492109105481</v>
      </c>
      <c r="Q44" s="80">
        <f>(Q14*3.6)/('eskom fuel 2009-YTD'!P14*'eskom fuel 2009-YTD'!P53)</f>
        <v>0.37099999999999994</v>
      </c>
      <c r="W44" s="88"/>
      <c r="X44" s="88"/>
      <c r="Y44" s="88"/>
      <c r="Z44" s="88"/>
      <c r="AA44" s="88"/>
      <c r="AB44" s="88"/>
      <c r="AC44" s="88"/>
      <c r="AD44" s="91"/>
    </row>
    <row r="45" spans="1:30" x14ac:dyDescent="0.2">
      <c r="A45" s="81" t="s">
        <v>418</v>
      </c>
      <c r="B45" s="84">
        <v>3510</v>
      </c>
      <c r="C45" s="83">
        <v>31199</v>
      </c>
      <c r="D45" s="83">
        <v>31199</v>
      </c>
      <c r="E45" s="82" t="s">
        <v>501</v>
      </c>
      <c r="F45" s="81" t="s">
        <v>517</v>
      </c>
      <c r="G45" s="80">
        <f>(G15*3.6)/('eskom fuel 2009-YTD'!G15*'eskom fuel 2009-YTD'!G54)</f>
        <v>0.32937386529363782</v>
      </c>
      <c r="H45" s="80">
        <f>(H15*3.6)/('eskom fuel 2009-YTD'!H15*'eskom fuel 2009-YTD'!H54)</f>
        <v>0.32918772633681764</v>
      </c>
      <c r="I45" s="80">
        <f>(I15*3.6)/('eskom fuel 2009-YTD'!I15*'eskom fuel 2009-YTD'!I54)</f>
        <v>0.31736800089724299</v>
      </c>
      <c r="J45" s="80">
        <f>(J15*3.6)/('eskom fuel 2009-YTD'!J15*'eskom fuel 2009-YTD'!J54)</f>
        <v>0.30986468535559558</v>
      </c>
      <c r="K45" s="80">
        <f>(K15*3.6)/('eskom fuel 2009-YTD'!K15*'eskom fuel 2009-YTD'!K54)</f>
        <v>0.29870902764268226</v>
      </c>
      <c r="L45" s="80">
        <f>(L15*3.6)/('eskom fuel 2009-YTD'!L15*'eskom fuel 2009-YTD'!L54)</f>
        <v>0.31242398713320207</v>
      </c>
      <c r="M45" s="80">
        <f>(M15*3.6)/('eskom fuel 2009-YTD'!M15*'eskom fuel 2009-YTD'!M54)</f>
        <v>0.30958519423502912</v>
      </c>
      <c r="N45" s="80">
        <f>(N15*3.6)/('eskom fuel 2009-YTD'!N15*'eskom fuel 2009-YTD'!N54)</f>
        <v>0.30394811618151202</v>
      </c>
      <c r="O45" s="80">
        <f>(O15*3.6)/('eskom fuel 2009-YTD'!O15*'eskom fuel 2009-YTD'!O54)</f>
        <v>0.31570194275813418</v>
      </c>
      <c r="Q45" s="80">
        <f>(Q15*3.6)/('eskom fuel 2009-YTD'!P15*'eskom fuel 2009-YTD'!P54)</f>
        <v>0.31090796372879914</v>
      </c>
      <c r="W45" s="88"/>
      <c r="X45" s="88"/>
      <c r="Y45" s="88"/>
      <c r="Z45" s="88"/>
      <c r="AA45" s="88"/>
      <c r="AB45" s="88"/>
      <c r="AC45" s="88"/>
      <c r="AD45" s="91"/>
    </row>
    <row r="46" spans="1:30" x14ac:dyDescent="0.2">
      <c r="A46" s="81" t="s">
        <v>513</v>
      </c>
      <c r="B46" s="84"/>
      <c r="C46" s="83"/>
      <c r="D46" s="83"/>
      <c r="E46" s="82"/>
      <c r="F46" s="81"/>
      <c r="G46" s="80"/>
      <c r="H46" s="80"/>
      <c r="I46" s="80"/>
      <c r="J46" s="80"/>
      <c r="K46" s="80"/>
      <c r="L46" s="80"/>
      <c r="M46" s="80"/>
      <c r="N46" s="80"/>
      <c r="O46" s="80"/>
      <c r="Q46" s="80">
        <f>(Q16*3.6)/('eskom fuel 2009-YTD'!P16*'eskom fuel 2009-YTD'!P55)</f>
        <v>0.37100000000000005</v>
      </c>
      <c r="W46" s="88"/>
      <c r="X46" s="88"/>
      <c r="Y46" s="88"/>
      <c r="Z46" s="88"/>
      <c r="AA46" s="88"/>
      <c r="AB46" s="88"/>
      <c r="AC46" s="88"/>
      <c r="AD46" s="91"/>
    </row>
    <row r="47" spans="1:30" x14ac:dyDescent="0.2">
      <c r="A47" s="81" t="s">
        <v>539</v>
      </c>
      <c r="B47" s="84">
        <v>1800</v>
      </c>
      <c r="C47" s="83">
        <v>30884</v>
      </c>
      <c r="D47" s="83">
        <v>30884</v>
      </c>
      <c r="E47" s="82" t="s">
        <v>538</v>
      </c>
      <c r="F47" s="81" t="s">
        <v>517</v>
      </c>
      <c r="G47" s="95"/>
      <c r="H47" s="95"/>
      <c r="I47" s="95"/>
      <c r="J47" s="95"/>
      <c r="K47" s="95"/>
      <c r="L47" s="95"/>
      <c r="M47" s="95"/>
      <c r="N47" s="95"/>
      <c r="O47" s="95"/>
      <c r="Q47" s="80"/>
      <c r="W47" s="88"/>
      <c r="X47" s="88"/>
      <c r="Y47" s="88"/>
      <c r="Z47" s="88"/>
      <c r="AA47" s="88"/>
      <c r="AB47" s="88"/>
      <c r="AC47" s="88"/>
      <c r="AD47" s="91"/>
    </row>
    <row r="48" spans="1:30" x14ac:dyDescent="0.2">
      <c r="A48" s="81" t="s">
        <v>537</v>
      </c>
      <c r="B48" s="84">
        <v>171</v>
      </c>
      <c r="C48" s="83">
        <v>27893</v>
      </c>
      <c r="D48" s="83">
        <v>27893</v>
      </c>
      <c r="E48" s="82" t="s">
        <v>536</v>
      </c>
      <c r="F48" s="81" t="s">
        <v>517</v>
      </c>
      <c r="G48" s="95"/>
      <c r="H48" s="95"/>
      <c r="I48" s="95"/>
      <c r="J48" s="95"/>
      <c r="K48" s="95"/>
      <c r="L48" s="95"/>
      <c r="M48" s="95"/>
      <c r="N48" s="95"/>
      <c r="O48" s="95"/>
      <c r="Q48" s="80"/>
      <c r="W48" s="88"/>
      <c r="X48" s="88"/>
      <c r="Y48" s="88"/>
      <c r="Z48" s="88"/>
      <c r="AA48" s="88"/>
      <c r="AB48" s="88"/>
      <c r="AC48" s="88"/>
      <c r="AD48" s="91"/>
    </row>
    <row r="49" spans="1:30" x14ac:dyDescent="0.2">
      <c r="A49" s="81" t="s">
        <v>535</v>
      </c>
      <c r="B49" s="93"/>
      <c r="C49" s="83">
        <v>39356</v>
      </c>
      <c r="D49" s="83">
        <v>39356</v>
      </c>
      <c r="E49" s="82" t="s">
        <v>534</v>
      </c>
      <c r="F49" s="81" t="s">
        <v>517</v>
      </c>
      <c r="G49" s="95"/>
      <c r="H49" s="95"/>
      <c r="I49" s="95"/>
      <c r="J49" s="95"/>
      <c r="K49" s="95"/>
      <c r="L49" s="95"/>
      <c r="M49" s="95"/>
      <c r="N49" s="95"/>
      <c r="O49" s="95"/>
      <c r="Q49" s="80"/>
      <c r="W49" s="88"/>
      <c r="X49" s="88"/>
      <c r="Y49" s="88"/>
      <c r="Z49" s="88"/>
      <c r="AA49" s="88"/>
      <c r="AB49" s="88"/>
      <c r="AC49" s="88"/>
      <c r="AD49" s="91"/>
    </row>
    <row r="50" spans="1:30" x14ac:dyDescent="0.2">
      <c r="A50" s="81" t="s">
        <v>533</v>
      </c>
      <c r="B50" s="93"/>
      <c r="C50" s="83">
        <v>39356</v>
      </c>
      <c r="D50" s="83">
        <v>39356</v>
      </c>
      <c r="E50" s="82" t="s">
        <v>532</v>
      </c>
      <c r="F50" s="81" t="s">
        <v>517</v>
      </c>
      <c r="G50" s="95"/>
      <c r="H50" s="95"/>
      <c r="I50" s="95"/>
      <c r="J50" s="95"/>
      <c r="K50" s="95"/>
      <c r="L50" s="95"/>
      <c r="M50" s="95"/>
      <c r="N50" s="95"/>
      <c r="O50" s="95"/>
      <c r="Q50" s="80"/>
      <c r="W50" s="88"/>
      <c r="X50" s="88"/>
      <c r="Y50" s="88"/>
      <c r="Z50" s="88"/>
      <c r="AA50" s="88"/>
      <c r="AB50" s="88"/>
      <c r="AC50" s="88"/>
      <c r="AD50" s="91"/>
    </row>
    <row r="51" spans="1:30" x14ac:dyDescent="0.2">
      <c r="A51" s="81" t="s">
        <v>531</v>
      </c>
      <c r="B51" s="84">
        <v>171</v>
      </c>
      <c r="C51" s="83">
        <v>28033</v>
      </c>
      <c r="D51" s="83">
        <v>28033</v>
      </c>
      <c r="E51" s="82" t="s">
        <v>530</v>
      </c>
      <c r="F51" s="81" t="s">
        <v>517</v>
      </c>
      <c r="G51" s="95"/>
      <c r="H51" s="95"/>
      <c r="I51" s="95"/>
      <c r="J51" s="95"/>
      <c r="K51" s="95"/>
      <c r="L51" s="95"/>
      <c r="M51" s="95"/>
      <c r="N51" s="95"/>
      <c r="O51" s="95"/>
      <c r="Q51" s="80"/>
      <c r="W51" s="88"/>
      <c r="X51" s="88"/>
      <c r="Y51" s="88"/>
      <c r="Z51" s="88"/>
      <c r="AA51" s="88"/>
      <c r="AB51" s="88"/>
      <c r="AC51" s="88"/>
      <c r="AD51" s="91"/>
    </row>
    <row r="52" spans="1:30" x14ac:dyDescent="0.2">
      <c r="A52" s="81" t="s">
        <v>529</v>
      </c>
      <c r="B52" s="84">
        <v>42</v>
      </c>
      <c r="C52" s="83">
        <v>31048</v>
      </c>
      <c r="D52" s="83">
        <v>31048</v>
      </c>
      <c r="E52" s="96">
        <v>0</v>
      </c>
      <c r="F52" s="81" t="s">
        <v>517</v>
      </c>
      <c r="G52" s="95"/>
      <c r="H52" s="95"/>
      <c r="I52" s="95"/>
      <c r="J52" s="95"/>
      <c r="K52" s="95"/>
      <c r="L52" s="95"/>
      <c r="M52" s="95"/>
      <c r="N52" s="95"/>
      <c r="O52" s="95"/>
      <c r="Q52" s="80"/>
      <c r="W52" s="88"/>
      <c r="X52" s="88"/>
      <c r="Y52" s="88"/>
      <c r="Z52" s="88"/>
      <c r="AA52" s="88"/>
      <c r="AB52" s="88"/>
      <c r="AC52" s="88"/>
      <c r="AD52" s="91"/>
    </row>
    <row r="53" spans="1:30" x14ac:dyDescent="0.2">
      <c r="A53" s="81" t="s">
        <v>528</v>
      </c>
      <c r="B53" s="84">
        <v>6</v>
      </c>
      <c r="C53" s="83">
        <v>28887</v>
      </c>
      <c r="D53" s="83">
        <v>28887</v>
      </c>
      <c r="E53" s="96">
        <v>0</v>
      </c>
      <c r="F53" s="81" t="s">
        <v>517</v>
      </c>
      <c r="G53" s="95"/>
      <c r="H53" s="95"/>
      <c r="I53" s="95"/>
      <c r="J53" s="95"/>
      <c r="K53" s="95"/>
      <c r="L53" s="95"/>
      <c r="M53" s="95"/>
      <c r="N53" s="95"/>
      <c r="O53" s="95"/>
      <c r="Q53" s="80"/>
      <c r="W53" s="88"/>
      <c r="X53" s="88"/>
      <c r="Y53" s="88"/>
      <c r="Z53" s="88"/>
      <c r="AA53" s="88"/>
      <c r="AB53" s="88"/>
      <c r="AC53" s="88"/>
      <c r="AD53" s="91"/>
    </row>
    <row r="54" spans="1:30" x14ac:dyDescent="0.2">
      <c r="A54" s="81" t="s">
        <v>527</v>
      </c>
      <c r="B54" s="84">
        <v>360</v>
      </c>
      <c r="C54" s="83">
        <v>26184</v>
      </c>
      <c r="D54" s="83">
        <v>26184</v>
      </c>
      <c r="E54" s="82" t="s">
        <v>526</v>
      </c>
      <c r="F54" s="81" t="s">
        <v>517</v>
      </c>
      <c r="G54" s="95"/>
      <c r="H54" s="95"/>
      <c r="I54" s="95"/>
      <c r="J54" s="95"/>
      <c r="K54" s="95"/>
      <c r="L54" s="95"/>
      <c r="M54" s="95"/>
      <c r="N54" s="95"/>
      <c r="O54" s="95"/>
      <c r="Q54" s="80"/>
      <c r="W54" s="88"/>
      <c r="X54" s="88"/>
      <c r="Y54" s="88"/>
      <c r="Z54" s="88"/>
      <c r="AA54" s="88"/>
      <c r="AB54" s="88"/>
      <c r="AC54" s="88"/>
      <c r="AD54" s="91"/>
    </row>
    <row r="55" spans="1:30" x14ac:dyDescent="0.2">
      <c r="A55" s="81" t="s">
        <v>525</v>
      </c>
      <c r="B55" s="84">
        <v>2</v>
      </c>
      <c r="C55" s="83">
        <v>30376</v>
      </c>
      <c r="D55" s="83">
        <v>30376</v>
      </c>
      <c r="E55" s="96">
        <v>0</v>
      </c>
      <c r="F55" s="81" t="s">
        <v>517</v>
      </c>
      <c r="G55" s="95"/>
      <c r="H55" s="95"/>
      <c r="I55" s="95"/>
      <c r="J55" s="95"/>
      <c r="K55" s="95"/>
      <c r="L55" s="95"/>
      <c r="M55" s="95"/>
      <c r="N55" s="95"/>
      <c r="O55" s="95"/>
      <c r="Q55" s="80"/>
      <c r="W55" s="88"/>
      <c r="X55" s="88"/>
      <c r="Y55" s="88"/>
      <c r="Z55" s="88"/>
      <c r="AA55" s="88"/>
      <c r="AB55" s="88"/>
      <c r="AC55" s="88"/>
      <c r="AD55" s="91"/>
    </row>
    <row r="56" spans="1:30" x14ac:dyDescent="0.2">
      <c r="A56" s="81" t="s">
        <v>524</v>
      </c>
      <c r="B56" s="84">
        <v>11</v>
      </c>
      <c r="C56" s="83">
        <v>28946</v>
      </c>
      <c r="D56" s="83">
        <v>28946</v>
      </c>
      <c r="E56" s="96">
        <v>0</v>
      </c>
      <c r="F56" s="81" t="s">
        <v>517</v>
      </c>
      <c r="G56" s="95"/>
      <c r="H56" s="95"/>
      <c r="I56" s="95"/>
      <c r="J56" s="95"/>
      <c r="K56" s="95"/>
      <c r="L56" s="95"/>
      <c r="M56" s="95"/>
      <c r="N56" s="95"/>
      <c r="O56" s="95"/>
      <c r="Q56" s="80"/>
      <c r="W56" s="88"/>
      <c r="X56" s="88"/>
      <c r="Y56" s="88"/>
      <c r="Z56" s="88"/>
      <c r="AA56" s="88"/>
      <c r="AB56" s="88"/>
      <c r="AC56" s="88"/>
      <c r="AD56" s="91"/>
    </row>
    <row r="57" spans="1:30" x14ac:dyDescent="0.2">
      <c r="A57" s="81" t="s">
        <v>523</v>
      </c>
      <c r="B57" s="84">
        <v>240</v>
      </c>
      <c r="C57" s="83">
        <v>28126</v>
      </c>
      <c r="D57" s="83">
        <v>28126</v>
      </c>
      <c r="E57" s="82" t="s">
        <v>522</v>
      </c>
      <c r="F57" s="81" t="s">
        <v>517</v>
      </c>
      <c r="G57" s="95"/>
      <c r="H57" s="95"/>
      <c r="I57" s="95"/>
      <c r="J57" s="95"/>
      <c r="K57" s="95"/>
      <c r="L57" s="95"/>
      <c r="M57" s="95"/>
      <c r="N57" s="95"/>
      <c r="O57" s="95"/>
      <c r="Q57" s="80"/>
      <c r="W57" s="88"/>
      <c r="X57" s="88"/>
      <c r="Y57" s="88"/>
      <c r="Z57" s="88"/>
      <c r="AA57" s="88"/>
      <c r="AB57" s="88"/>
      <c r="AC57" s="88"/>
      <c r="AD57" s="91"/>
    </row>
    <row r="58" spans="1:30" x14ac:dyDescent="0.2">
      <c r="A58" s="81" t="s">
        <v>521</v>
      </c>
      <c r="B58" s="84">
        <v>1000</v>
      </c>
      <c r="C58" s="83">
        <v>29754</v>
      </c>
      <c r="D58" s="83">
        <v>29754</v>
      </c>
      <c r="E58" s="82" t="s">
        <v>520</v>
      </c>
      <c r="F58" s="81" t="s">
        <v>517</v>
      </c>
      <c r="G58" s="95"/>
      <c r="H58" s="95"/>
      <c r="I58" s="95"/>
      <c r="J58" s="95"/>
      <c r="K58" s="95"/>
      <c r="L58" s="95"/>
      <c r="M58" s="95"/>
      <c r="N58" s="95"/>
      <c r="O58" s="95"/>
      <c r="Q58" s="80"/>
      <c r="W58" s="88"/>
      <c r="X58" s="88"/>
      <c r="Y58" s="88"/>
      <c r="Z58" s="88"/>
      <c r="AA58" s="88"/>
      <c r="AB58" s="88"/>
      <c r="AC58" s="88"/>
      <c r="AD58" s="91"/>
    </row>
    <row r="59" spans="1:30" x14ac:dyDescent="0.2">
      <c r="A59" s="81" t="s">
        <v>519</v>
      </c>
      <c r="B59" s="84">
        <v>400</v>
      </c>
      <c r="C59" s="83">
        <v>32251</v>
      </c>
      <c r="D59" s="83">
        <v>32251</v>
      </c>
      <c r="E59" s="82" t="s">
        <v>518</v>
      </c>
      <c r="F59" s="81" t="s">
        <v>517</v>
      </c>
      <c r="G59" s="80"/>
      <c r="H59" s="80"/>
      <c r="I59" s="80"/>
      <c r="J59" s="80"/>
      <c r="K59" s="80"/>
      <c r="L59" s="80"/>
      <c r="M59" s="80"/>
      <c r="N59" s="80"/>
      <c r="O59" s="80"/>
      <c r="Q59" s="80"/>
      <c r="W59" s="88"/>
      <c r="X59" s="88"/>
      <c r="Y59" s="88"/>
      <c r="Z59" s="88"/>
      <c r="AA59" s="88"/>
      <c r="AB59" s="88"/>
      <c r="AC59" s="88"/>
      <c r="AD59" s="91"/>
    </row>
    <row r="60" spans="1:30" x14ac:dyDescent="0.2">
      <c r="A60" s="81" t="s">
        <v>470</v>
      </c>
      <c r="B60" s="84">
        <v>1600</v>
      </c>
      <c r="C60" s="83">
        <v>24462</v>
      </c>
      <c r="D60" s="83">
        <v>38504</v>
      </c>
      <c r="E60" s="82" t="s">
        <v>500</v>
      </c>
      <c r="F60" s="81" t="s">
        <v>517</v>
      </c>
      <c r="G60" s="80">
        <f>(G30*3.6)/('eskom fuel 2009-YTD'!G30*'eskom fuel 2009-YTD'!G69)</f>
        <v>0.28421941509622556</v>
      </c>
      <c r="H60" s="80">
        <f>(H30*3.6)/('eskom fuel 2009-YTD'!H30*'eskom fuel 2009-YTD'!H69)</f>
        <v>0.29123531377308082</v>
      </c>
      <c r="I60" s="80">
        <f>(I30*3.6)/('eskom fuel 2009-YTD'!I30*'eskom fuel 2009-YTD'!I69)</f>
        <v>0.30215685921253033</v>
      </c>
      <c r="J60" s="80">
        <f>(J30*3.6)/('eskom fuel 2009-YTD'!J30*'eskom fuel 2009-YTD'!J69)</f>
        <v>0.18000000000000002</v>
      </c>
      <c r="K60" s="80">
        <f>(K30*3.6)/('eskom fuel 2009-YTD'!K30*'eskom fuel 2009-YTD'!K69)</f>
        <v>0.29651029377039601</v>
      </c>
      <c r="L60" s="80">
        <f>(L30*3.6)/('eskom fuel 2009-YTD'!L30*'eskom fuel 2009-YTD'!L69)</f>
        <v>0.29570790561941596</v>
      </c>
      <c r="M60" s="80">
        <f>(M30*3.6)/('eskom fuel 2009-YTD'!M30*'eskom fuel 2009-YTD'!M69)</f>
        <v>0.31368964647738162</v>
      </c>
      <c r="N60" s="80">
        <f>(N30*3.6)/('eskom fuel 2009-YTD'!N30*'eskom fuel 2009-YTD'!N69)</f>
        <v>0.31105056614558263</v>
      </c>
      <c r="O60" s="80">
        <f>(O30*3.6)/('eskom fuel 2009-YTD'!O30*'eskom fuel 2009-YTD'!O69)</f>
        <v>0.31246526077469189</v>
      </c>
      <c r="Q60" s="80">
        <f>(Q30*3.6)/('eskom fuel 2009-YTD'!P30*'eskom fuel 2009-YTD'!P69)</f>
        <v>0.2805027762784329</v>
      </c>
      <c r="W60" s="88"/>
      <c r="X60" s="88"/>
      <c r="Y60" s="88"/>
      <c r="Z60" s="88"/>
      <c r="AA60" s="88"/>
      <c r="AB60" s="88"/>
      <c r="AC60" s="88"/>
      <c r="AD60" s="91"/>
    </row>
    <row r="61" spans="1:30" x14ac:dyDescent="0.2">
      <c r="A61" s="81" t="s">
        <v>405</v>
      </c>
      <c r="B61" s="84">
        <v>1200</v>
      </c>
      <c r="C61" s="83">
        <v>25384</v>
      </c>
      <c r="D61" s="83">
        <v>25384</v>
      </c>
      <c r="E61" s="82" t="s">
        <v>499</v>
      </c>
      <c r="F61" s="81" t="s">
        <v>517</v>
      </c>
      <c r="G61" s="80">
        <f>(G31*3.6)/('eskom fuel 2009-YTD'!G31*'eskom fuel 2009-YTD'!G70)</f>
        <v>0.29200553814621122</v>
      </c>
      <c r="H61" s="80">
        <f>(H31*3.6)/('eskom fuel 2009-YTD'!H31*'eskom fuel 2009-YTD'!H70)</f>
        <v>0.29932379081088001</v>
      </c>
      <c r="I61" s="80">
        <f>(I31*3.6)/('eskom fuel 2009-YTD'!I31*'eskom fuel 2009-YTD'!I70)</f>
        <v>0.2870472058468384</v>
      </c>
      <c r="J61" s="80">
        <f>(J31*3.6)/('eskom fuel 2009-YTD'!J31*'eskom fuel 2009-YTD'!J70)</f>
        <v>0.18</v>
      </c>
      <c r="K61" s="80">
        <f>(K31*3.6)/('eskom fuel 2009-YTD'!K31*'eskom fuel 2009-YTD'!K70)</f>
        <v>0.2866187535968942</v>
      </c>
      <c r="L61" s="80">
        <f>(L31*3.6)/('eskom fuel 2009-YTD'!L31*'eskom fuel 2009-YTD'!L70)</f>
        <v>0.27894226352991619</v>
      </c>
      <c r="M61" s="80">
        <f>(M31*3.6)/('eskom fuel 2009-YTD'!M31*'eskom fuel 2009-YTD'!M70)</f>
        <v>0.28820393956212786</v>
      </c>
      <c r="N61" s="80">
        <f>(N31*3.6)/('eskom fuel 2009-YTD'!N31*'eskom fuel 2009-YTD'!N70)</f>
        <v>0.28998671184191455</v>
      </c>
      <c r="O61" s="80">
        <f>(O31*3.6)/('eskom fuel 2009-YTD'!O31*'eskom fuel 2009-YTD'!O70)</f>
        <v>0.25533648073953574</v>
      </c>
      <c r="Q61" s="80">
        <f>(Q31*3.6)/('eskom fuel 2009-YTD'!P31*'eskom fuel 2009-YTD'!P70)</f>
        <v>0.25956842465744412</v>
      </c>
      <c r="W61" s="88"/>
      <c r="X61" s="88"/>
      <c r="Y61" s="88"/>
      <c r="Z61" s="88"/>
      <c r="AA61" s="88"/>
      <c r="AB61" s="88"/>
      <c r="AC61" s="88"/>
      <c r="AD61" s="91"/>
    </row>
    <row r="62" spans="1:30" x14ac:dyDescent="0.2">
      <c r="A62" s="81" t="s">
        <v>406</v>
      </c>
      <c r="B62" s="84">
        <v>1000</v>
      </c>
      <c r="C62" s="83">
        <v>22591</v>
      </c>
      <c r="D62" s="83">
        <v>22591</v>
      </c>
      <c r="E62" s="82" t="s">
        <v>498</v>
      </c>
      <c r="F62" s="81" t="s">
        <v>517</v>
      </c>
      <c r="G62" s="80">
        <f>(G32*3.6)/('eskom fuel 2009-YTD'!G32*'eskom fuel 2009-YTD'!G71)</f>
        <v>0.26211611403598728</v>
      </c>
      <c r="H62" s="80">
        <f>(H32*3.6)/('eskom fuel 2009-YTD'!H32*'eskom fuel 2009-YTD'!H71)</f>
        <v>0.27786329656842085</v>
      </c>
      <c r="I62" s="80">
        <f>(I32*3.6)/('eskom fuel 2009-YTD'!I32*'eskom fuel 2009-YTD'!I71)</f>
        <v>0.2957218263290976</v>
      </c>
      <c r="J62" s="80">
        <f>(J32*3.6)/('eskom fuel 2009-YTD'!J32*'eskom fuel 2009-YTD'!J71)</f>
        <v>0.17142857142857143</v>
      </c>
      <c r="K62" s="80">
        <f>(K32*3.6)/('eskom fuel 2009-YTD'!K32*'eskom fuel 2009-YTD'!K71)</f>
        <v>0.29108490258007669</v>
      </c>
      <c r="L62" s="80">
        <f>(L32*3.6)/('eskom fuel 2009-YTD'!L32*'eskom fuel 2009-YTD'!L71)</f>
        <v>0.2807949902616812</v>
      </c>
      <c r="M62" s="80">
        <f>(M32*3.6)/('eskom fuel 2009-YTD'!M32*'eskom fuel 2009-YTD'!M71)</f>
        <v>0.29146683072232282</v>
      </c>
      <c r="N62" s="80">
        <f>(N32*3.6)/('eskom fuel 2009-YTD'!N32*'eskom fuel 2009-YTD'!N71)</f>
        <v>0.28278158396617203</v>
      </c>
      <c r="O62" s="80">
        <f>(O32*3.6)/('eskom fuel 2009-YTD'!O32*'eskom fuel 2009-YTD'!O71)</f>
        <v>0.24354095003316389</v>
      </c>
      <c r="Q62" s="80">
        <f>(Q32*3.6)/('eskom fuel 2009-YTD'!P32*'eskom fuel 2009-YTD'!P71)</f>
        <v>0.24202040664976729</v>
      </c>
      <c r="W62" s="88"/>
      <c r="X62" s="88"/>
      <c r="Y62" s="88"/>
      <c r="Z62" s="88"/>
      <c r="AA62" s="88"/>
      <c r="AB62" s="88"/>
      <c r="AC62" s="88"/>
      <c r="AD62" s="91"/>
    </row>
    <row r="63" spans="1:30" x14ac:dyDescent="0.2">
      <c r="A63" s="94"/>
      <c r="B63" s="93"/>
      <c r="C63" s="93"/>
      <c r="D63" s="93"/>
      <c r="E63" s="93"/>
      <c r="F63" s="93"/>
      <c r="G63" s="525"/>
      <c r="H63" s="526"/>
      <c r="I63" s="526"/>
      <c r="J63" s="526"/>
      <c r="K63" s="526"/>
      <c r="L63" s="526"/>
      <c r="M63" s="526"/>
      <c r="N63" s="526"/>
      <c r="O63" s="92"/>
      <c r="W63" s="91"/>
      <c r="X63" s="91"/>
      <c r="Y63" s="91"/>
      <c r="Z63" s="91"/>
      <c r="AA63" s="91"/>
    </row>
    <row r="65" spans="1:29" x14ac:dyDescent="0.2">
      <c r="A65" s="77" t="s">
        <v>516</v>
      </c>
      <c r="J65" s="77">
        <v>2012</v>
      </c>
      <c r="K65" s="77">
        <v>2013</v>
      </c>
      <c r="L65" s="77">
        <v>2014</v>
      </c>
      <c r="M65" s="77">
        <v>2015</v>
      </c>
      <c r="N65" s="77">
        <v>2016</v>
      </c>
      <c r="O65" s="87">
        <v>2017</v>
      </c>
      <c r="P65" s="87">
        <v>2018</v>
      </c>
      <c r="Q65" s="87">
        <v>2019</v>
      </c>
      <c r="R65" s="87">
        <v>2020</v>
      </c>
      <c r="S65" s="87">
        <v>2021</v>
      </c>
      <c r="T65" s="87">
        <v>2022</v>
      </c>
      <c r="U65" s="87">
        <v>2023</v>
      </c>
      <c r="V65" s="87">
        <v>2024</v>
      </c>
      <c r="W65" s="87">
        <v>2025</v>
      </c>
      <c r="X65" s="87">
        <v>2026</v>
      </c>
      <c r="Y65" s="87">
        <v>2027</v>
      </c>
      <c r="Z65" s="87">
        <v>2028</v>
      </c>
      <c r="AA65" s="87">
        <v>2029</v>
      </c>
      <c r="AB65" s="87">
        <v>2030</v>
      </c>
      <c r="AC65" s="87">
        <v>2031</v>
      </c>
    </row>
    <row r="66" spans="1:29" x14ac:dyDescent="0.2">
      <c r="A66" s="81" t="s">
        <v>416</v>
      </c>
      <c r="J66" s="45">
        <f>INDEX(EskomCoalNERSACombined!$C$44:$C$56,MATCH(A66,EskomCoalNERSACombined!$B$44:$B$56,0))</f>
        <v>2232</v>
      </c>
      <c r="O66" s="45">
        <v>2232</v>
      </c>
      <c r="Q66" s="45">
        <f>SUMIF(EskomCoalNERSACombined!$B$44:$B$58,A135,EskomCoalNERSACombined!$G$44:$G$58)</f>
        <v>2232</v>
      </c>
      <c r="R66" s="45">
        <f>INDEX(ProcDataGenPre2012!$AV$9:$BF$22,MATCH($A66,ProcDataGenPre2012!$C$9:$C$22,0),MATCH(R$65,ProcDataGenPre2012!$AV$5:$BF$5,0))*1000</f>
        <v>2232</v>
      </c>
      <c r="S66" s="45">
        <f>INDEX(ProcDataGenPre2012!$AV$9:$BF$22,MATCH($A66,ProcDataGenPre2012!$C$9:$C$22,0),MATCH(S$65,ProcDataGenPre2012!$AV$5:$BF$5,0))*1000</f>
        <v>2232</v>
      </c>
      <c r="T66" s="45">
        <f>INDEX(ProcDataGenPre2012!$AV$9:$BF$22,MATCH($A66,ProcDataGenPre2012!$C$9:$C$22,0),MATCH(T$65,ProcDataGenPre2012!$AV$5:$BF$5,0))*1000</f>
        <v>2232</v>
      </c>
      <c r="U66" s="45">
        <f>INDEX(ProcDataGenPre2012!$AV$9:$BF$22,MATCH($A66,ProcDataGenPre2012!$C$9:$C$22,0),MATCH(U$65,ProcDataGenPre2012!$AV$5:$BF$5,0))*1000</f>
        <v>2232</v>
      </c>
      <c r="V66" s="45">
        <f>INDEX(ProcDataGenPre2012!$AV$9:$BF$22,MATCH($A66,ProcDataGenPre2012!$C$9:$C$22,0),MATCH(V$65,ProcDataGenPre2012!$AV$5:$BF$5,0))*1000</f>
        <v>2232</v>
      </c>
      <c r="W66" s="45">
        <f>INDEX(ProcDataGenPre2012!$AV$9:$BF$22,MATCH($A66,ProcDataGenPre2012!$C$9:$C$22,0),MATCH(W$65,ProcDataGenPre2012!$AV$5:$BF$5,0))*1000</f>
        <v>2232</v>
      </c>
      <c r="X66" s="45">
        <f>INDEX(ProcDataGenPre2012!$AV$9:$BF$22,MATCH($A66,ProcDataGenPre2012!$C$9:$C$22,0),MATCH(X$65,ProcDataGenPre2012!$AV$5:$BF$5,0))*1000</f>
        <v>1488</v>
      </c>
      <c r="Y66" s="45">
        <f>INDEX(ProcDataGenPre2012!$AV$9:$BF$22,MATCH($A66,ProcDataGenPre2012!$C$9:$C$22,0),MATCH(Y$65,ProcDataGenPre2012!$AV$5:$BF$5,0))*1000</f>
        <v>743.99999999999989</v>
      </c>
      <c r="Z66" s="45">
        <f>INDEX(ProcDataGenPre2012!$AV$9:$BF$22,MATCH($A66,ProcDataGenPre2012!$C$9:$C$22,0),MATCH(Z$65,ProcDataGenPre2012!$AV$5:$BF$5,0))*1000</f>
        <v>743.99999999999989</v>
      </c>
      <c r="AA66" s="45">
        <f>INDEX(ProcDataGenPre2012!$AV$9:$BF$22,MATCH($A66,ProcDataGenPre2012!$C$9:$C$22,0),MATCH(AA$65,ProcDataGenPre2012!$AV$5:$BF$5,0))*1000</f>
        <v>0</v>
      </c>
      <c r="AB66" s="45">
        <f>INDEX(ProcDataGenPre2012!$AV$9:$BF$22,MATCH($A66,ProcDataGenPre2012!$C$9:$C$22,0),MATCH(AB$65,ProcDataGenPre2012!$AV$5:$BF$5,0))*1000</f>
        <v>0</v>
      </c>
      <c r="AC66" s="45">
        <f>INDEX(ProcDataGenPre2012!$AV$9:$BG$22,MATCH($A66,ProcDataGenPre2012!$C$9:$C$22,0),MATCH(AC$65,ProcDataGenPre2012!$AV$5:$BG$5,0))*1000</f>
        <v>0</v>
      </c>
    </row>
    <row r="67" spans="1:29" x14ac:dyDescent="0.2">
      <c r="A67" s="81" t="s">
        <v>466</v>
      </c>
      <c r="J67" s="45">
        <f>INDEX(EskomCoalNERSACombined!$C$44:$C$56,MATCH(A67,EskomCoalNERSACombined!$B$44:$B$56,0))</f>
        <v>3450</v>
      </c>
      <c r="O67" s="45">
        <v>2875</v>
      </c>
      <c r="Q67" s="45">
        <f>SUMIF(EskomCoalNERSACombined!$B$44:$B$58,A136,EskomCoalNERSACombined!$G$44:$G$58)</f>
        <v>2875</v>
      </c>
      <c r="R67" s="45">
        <f>INDEX(ProcDataGenPre2012!$AV$9:$BF$22,MATCH($A67,ProcDataGenPre2012!$C$9:$C$22,0),MATCH(R$65,ProcDataGenPre2012!$AV$5:$BF$5,0))*1000</f>
        <v>2875</v>
      </c>
      <c r="S67" s="45">
        <f>INDEX(ProcDataGenPre2012!$AV$9:$BF$22,MATCH($A67,ProcDataGenPre2012!$C$9:$C$22,0),MATCH(S$65,ProcDataGenPre2012!$AV$5:$BF$5,0))*1000</f>
        <v>2875</v>
      </c>
      <c r="T67" s="45">
        <f>INDEX(ProcDataGenPre2012!$AV$9:$BF$22,MATCH($A67,ProcDataGenPre2012!$C$9:$C$22,0),MATCH(T$65,ProcDataGenPre2012!$AV$5:$BF$5,0))*1000</f>
        <v>2875</v>
      </c>
      <c r="U67" s="45">
        <f>INDEX(ProcDataGenPre2012!$AV$9:$BF$22,MATCH($A67,ProcDataGenPre2012!$C$9:$C$22,0),MATCH(U$65,ProcDataGenPre2012!$AV$5:$BF$5,0))*1000</f>
        <v>2875</v>
      </c>
      <c r="V67" s="45">
        <f>INDEX(ProcDataGenPre2012!$AV$9:$BF$22,MATCH($A67,ProcDataGenPre2012!$C$9:$C$22,0),MATCH(V$65,ProcDataGenPre2012!$AV$5:$BF$5,0))*1000</f>
        <v>2875</v>
      </c>
      <c r="W67" s="45">
        <f>INDEX(ProcDataGenPre2012!$AV$9:$BF$22,MATCH($A67,ProcDataGenPre2012!$C$9:$C$22,0),MATCH(W$65,ProcDataGenPre2012!$AV$5:$BF$5,0))*1000</f>
        <v>2875</v>
      </c>
      <c r="X67" s="45">
        <f>INDEX(ProcDataGenPre2012!$AV$9:$BF$22,MATCH($A67,ProcDataGenPre2012!$C$9:$C$22,0),MATCH(X$65,ProcDataGenPre2012!$AV$5:$BF$5,0))*1000</f>
        <v>2875</v>
      </c>
      <c r="Y67" s="45">
        <f>INDEX(ProcDataGenPre2012!$AV$9:$BF$22,MATCH($A67,ProcDataGenPre2012!$C$9:$C$22,0),MATCH(Y$65,ProcDataGenPre2012!$AV$5:$BF$5,0))*1000</f>
        <v>2875</v>
      </c>
      <c r="Z67" s="45">
        <f>INDEX(ProcDataGenPre2012!$AV$9:$BF$22,MATCH($A67,ProcDataGenPre2012!$C$9:$C$22,0),MATCH(Z$65,ProcDataGenPre2012!$AV$5:$BF$5,0))*1000</f>
        <v>2875</v>
      </c>
      <c r="AA67" s="45">
        <f>INDEX(ProcDataGenPre2012!$AV$9:$BF$22,MATCH($A67,ProcDataGenPre2012!$C$9:$C$22,0),MATCH(AA$65,ProcDataGenPre2012!$AV$5:$BF$5,0))*1000</f>
        <v>2875</v>
      </c>
      <c r="AB67" s="45">
        <f>INDEX(ProcDataGenPre2012!$AV$9:$BF$22,MATCH($A67,ProcDataGenPre2012!$C$9:$C$22,0),MATCH(AB$65,ProcDataGenPre2012!$AV$5:$BF$5,0))*1000</f>
        <v>2875</v>
      </c>
      <c r="AC67" s="45">
        <f>INDEX(ProcDataGenPre2012!$AV$9:$BG$22,MATCH($A67,ProcDataGenPre2012!$C$9:$C$22,0),MATCH(AC$65,ProcDataGenPre2012!$AV$5:$BG$5,0))*1000</f>
        <v>2875</v>
      </c>
    </row>
    <row r="68" spans="1:29" x14ac:dyDescent="0.2">
      <c r="A68" s="81" t="s">
        <v>409</v>
      </c>
      <c r="J68" s="45">
        <f>INDEX(EskomCoalNERSACombined!$C$44:$C$56,MATCH(A68,EskomCoalNERSACombined!$B$44:$B$56,0))</f>
        <v>1865</v>
      </c>
      <c r="O68" s="45">
        <v>1638</v>
      </c>
      <c r="Q68" s="45">
        <f>SUMIF(EskomCoalNERSACombined!$B$44:$B$58,A137,EskomCoalNERSACombined!$G$44:$G$58)</f>
        <v>1293</v>
      </c>
      <c r="R68" s="45">
        <f>INDEX(ProcDataGenPre2012!$AV$9:$BF$22,MATCH($A68,ProcDataGenPre2012!$C$9:$C$22,0),MATCH(R$65,ProcDataGenPre2012!$AV$5:$BF$5,0))*1000</f>
        <v>1293</v>
      </c>
      <c r="S68" s="90">
        <f>INDEX(ProcDataGenPre2012!$AV$9:$BF$22,MATCH($A68,ProcDataGenPre2012!$C$9:$C$22,0),MATCH(S$65,ProcDataGenPre2012!$AV$5:$BF$5,0))*1000</f>
        <v>1108.2857142857142</v>
      </c>
      <c r="T68" s="90">
        <f>INDEX(ProcDataGenPre2012!$AV$9:$BF$22,MATCH($A68,ProcDataGenPre2012!$C$9:$C$22,0),MATCH(T$65,ProcDataGenPre2012!$AV$5:$BF$5,0))*1000</f>
        <v>1108.2857142857142</v>
      </c>
      <c r="U68" s="90">
        <f>INDEX(ProcDataGenPre2012!$AV$9:$BF$22,MATCH($A68,ProcDataGenPre2012!$C$9:$C$22,0),MATCH(U$65,ProcDataGenPre2012!$AV$5:$BF$5,0))*1000</f>
        <v>923.57142857142856</v>
      </c>
      <c r="V68" s="90">
        <f>INDEX(ProcDataGenPre2012!$AV$9:$BF$22,MATCH($A68,ProcDataGenPre2012!$C$9:$C$22,0),MATCH(V$65,ProcDataGenPre2012!$AV$5:$BF$5,0))*1000</f>
        <v>738.85714285714289</v>
      </c>
      <c r="W68" s="90">
        <f>INDEX(ProcDataGenPre2012!$AV$9:$BF$22,MATCH($A68,ProcDataGenPre2012!$C$9:$C$22,0),MATCH(W$65,ProcDataGenPre2012!$AV$5:$BF$5,0))*1000</f>
        <v>0</v>
      </c>
      <c r="X68" s="90">
        <f>INDEX(ProcDataGenPre2012!$AV$9:$BF$22,MATCH($A68,ProcDataGenPre2012!$C$9:$C$22,0),MATCH(X$65,ProcDataGenPre2012!$AV$5:$BF$5,0))*1000</f>
        <v>0</v>
      </c>
      <c r="Y68" s="90">
        <f>INDEX(ProcDataGenPre2012!$AV$9:$BF$22,MATCH($A68,ProcDataGenPre2012!$C$9:$C$22,0),MATCH(Y$65,ProcDataGenPre2012!$AV$5:$BF$5,0))*1000</f>
        <v>0</v>
      </c>
      <c r="Z68" s="90">
        <f>INDEX(ProcDataGenPre2012!$AV$9:$BF$22,MATCH($A68,ProcDataGenPre2012!$C$9:$C$22,0),MATCH(Z$65,ProcDataGenPre2012!$AV$5:$BF$5,0))*1000</f>
        <v>0</v>
      </c>
      <c r="AA68" s="90">
        <f>INDEX(ProcDataGenPre2012!$AV$9:$BF$22,MATCH($A68,ProcDataGenPre2012!$C$9:$C$22,0),MATCH(AA$65,ProcDataGenPre2012!$AV$5:$BF$5,0))*1000</f>
        <v>0</v>
      </c>
      <c r="AB68" s="45">
        <f>INDEX(ProcDataGenPre2012!$AV$9:$BF$22,MATCH($A68,ProcDataGenPre2012!$C$9:$C$22,0),MATCH(AB$65,ProcDataGenPre2012!$AV$5:$BF$5,0))*1000</f>
        <v>0</v>
      </c>
      <c r="AC68" s="45">
        <f>INDEX(ProcDataGenPre2012!$AV$9:$BG$22,MATCH($A68,ProcDataGenPre2012!$C$9:$C$22,0),MATCH(AC$65,ProcDataGenPre2012!$AV$5:$BG$5,0))*1000</f>
        <v>0</v>
      </c>
    </row>
    <row r="69" spans="1:29" x14ac:dyDescent="0.2">
      <c r="A69" s="81" t="s">
        <v>455</v>
      </c>
      <c r="J69" s="45">
        <f>INDEX(EskomCoalNERSACombined!$C$44:$C$56,MATCH(A69,EskomCoalNERSACombined!$B$44:$B$56,0))</f>
        <v>3840</v>
      </c>
      <c r="O69" s="45">
        <v>3840</v>
      </c>
      <c r="Q69" s="45">
        <f>SUMIF(EskomCoalNERSACombined!$B$44:$B$58,A138,EskomCoalNERSACombined!$G$44:$G$58)</f>
        <v>3840</v>
      </c>
      <c r="R69" s="45">
        <f>INDEX(ProcDataGenPre2012!$AV$9:$BF$22,MATCH($A69,ProcDataGenPre2012!$C$9:$C$22,0),MATCH(R$65,ProcDataGenPre2012!$AV$5:$BF$5,0))*1000</f>
        <v>3840</v>
      </c>
      <c r="S69" s="45">
        <f>INDEX(ProcDataGenPre2012!$AV$9:$BF$22,MATCH($A69,ProcDataGenPre2012!$C$9:$C$22,0),MATCH(S$65,ProcDataGenPre2012!$AV$5:$BF$5,0))*1000</f>
        <v>3840</v>
      </c>
      <c r="T69" s="45">
        <f>INDEX(ProcDataGenPre2012!$AV$9:$BF$22,MATCH($A69,ProcDataGenPre2012!$C$9:$C$22,0),MATCH(T$65,ProcDataGenPre2012!$AV$5:$BF$5,0))*1000</f>
        <v>3840</v>
      </c>
      <c r="U69" s="45">
        <f>INDEX(ProcDataGenPre2012!$AV$9:$BF$22,MATCH($A69,ProcDataGenPre2012!$C$9:$C$22,0),MATCH(U$65,ProcDataGenPre2012!$AV$5:$BF$5,0))*1000</f>
        <v>3840</v>
      </c>
      <c r="V69" s="45">
        <f>INDEX(ProcDataGenPre2012!$AV$9:$BF$22,MATCH($A69,ProcDataGenPre2012!$C$9:$C$22,0),MATCH(V$65,ProcDataGenPre2012!$AV$5:$BF$5,0))*1000</f>
        <v>3840</v>
      </c>
      <c r="W69" s="45">
        <f>INDEX(ProcDataGenPre2012!$AV$9:$BF$22,MATCH($A69,ProcDataGenPre2012!$C$9:$C$22,0),MATCH(W$65,ProcDataGenPre2012!$AV$5:$BF$5,0))*1000</f>
        <v>3840</v>
      </c>
      <c r="X69" s="45">
        <f>INDEX(ProcDataGenPre2012!$AV$9:$BF$22,MATCH($A69,ProcDataGenPre2012!$C$9:$C$22,0),MATCH(X$65,ProcDataGenPre2012!$AV$5:$BF$5,0))*1000</f>
        <v>3840</v>
      </c>
      <c r="Y69" s="45">
        <f>INDEX(ProcDataGenPre2012!$AV$9:$BF$22,MATCH($A69,ProcDataGenPre2012!$C$9:$C$22,0),MATCH(Y$65,ProcDataGenPre2012!$AV$5:$BF$5,0))*1000</f>
        <v>3840</v>
      </c>
      <c r="Z69" s="45">
        <f>INDEX(ProcDataGenPre2012!$AV$9:$BF$22,MATCH($A69,ProcDataGenPre2012!$C$9:$C$22,0),MATCH(Z$65,ProcDataGenPre2012!$AV$5:$BF$5,0))*1000</f>
        <v>3840</v>
      </c>
      <c r="AA69" s="45">
        <f>INDEX(ProcDataGenPre2012!$AV$9:$BF$22,MATCH($A69,ProcDataGenPre2012!$C$9:$C$22,0),MATCH(AA$65,ProcDataGenPre2012!$AV$5:$BF$5,0))*1000</f>
        <v>3840</v>
      </c>
      <c r="AB69" s="45">
        <f>INDEX(ProcDataGenPre2012!$AV$9:$BF$22,MATCH($A69,ProcDataGenPre2012!$C$9:$C$22,0),MATCH(AB$65,ProcDataGenPre2012!$AV$5:$BF$5,0))*1000</f>
        <v>3840</v>
      </c>
      <c r="AC69" s="45">
        <f>INDEX(ProcDataGenPre2012!$AV$9:$BG$22,MATCH($A69,ProcDataGenPre2012!$C$9:$C$22,0),MATCH(AC$65,ProcDataGenPre2012!$AV$5:$BG$5,0))*1000</f>
        <v>3840</v>
      </c>
    </row>
    <row r="70" spans="1:29" x14ac:dyDescent="0.2">
      <c r="A70" s="81" t="s">
        <v>410</v>
      </c>
      <c r="J70" s="45">
        <f>INDEX(EskomCoalNERSACombined!$C$44:$C$56,MATCH(A70,EskomCoalNERSACombined!$B$44:$B$56,0))</f>
        <v>2850</v>
      </c>
      <c r="O70" s="45">
        <v>2850</v>
      </c>
      <c r="Q70" s="45">
        <f>SUMIF(EskomCoalNERSACombined!$B$44:$B$58,A139,EskomCoalNERSACombined!$G$44:$G$58)</f>
        <v>2850</v>
      </c>
      <c r="R70" s="45">
        <f>INDEX(ProcDataGenPre2012!$AV$9:$BF$22,MATCH($A70,ProcDataGenPre2012!$C$9:$C$22,0),MATCH(R$65,ProcDataGenPre2012!$AV$5:$BF$5,0))*1000</f>
        <v>2850</v>
      </c>
      <c r="S70" s="45">
        <f>INDEX(ProcDataGenPre2012!$AV$9:$BF$22,MATCH($A70,ProcDataGenPre2012!$C$9:$C$22,0),MATCH(S$65,ProcDataGenPre2012!$AV$5:$BF$5,0))*1000</f>
        <v>2850</v>
      </c>
      <c r="T70" s="45">
        <f>INDEX(ProcDataGenPre2012!$AV$9:$BF$22,MATCH($A70,ProcDataGenPre2012!$C$9:$C$22,0),MATCH(T$65,ProcDataGenPre2012!$AV$5:$BF$5,0))*1000</f>
        <v>2850</v>
      </c>
      <c r="U70" s="45">
        <f>INDEX(ProcDataGenPre2012!$AV$9:$BF$22,MATCH($A70,ProcDataGenPre2012!$C$9:$C$22,0),MATCH(U$65,ProcDataGenPre2012!$AV$5:$BF$5,0))*1000</f>
        <v>2850</v>
      </c>
      <c r="V70" s="45">
        <f>INDEX(ProcDataGenPre2012!$AV$9:$BF$22,MATCH($A70,ProcDataGenPre2012!$C$9:$C$22,0),MATCH(V$65,ProcDataGenPre2012!$AV$5:$BF$5,0))*1000</f>
        <v>2850</v>
      </c>
      <c r="W70" s="45">
        <f>INDEX(ProcDataGenPre2012!$AV$9:$BF$22,MATCH($A70,ProcDataGenPre2012!$C$9:$C$22,0),MATCH(W$65,ProcDataGenPre2012!$AV$5:$BF$5,0))*1000</f>
        <v>2850</v>
      </c>
      <c r="X70" s="45">
        <f>INDEX(ProcDataGenPre2012!$AV$9:$BF$22,MATCH($A70,ProcDataGenPre2012!$C$9:$C$22,0),MATCH(X$65,ProcDataGenPre2012!$AV$5:$BF$5,0))*1000</f>
        <v>2375</v>
      </c>
      <c r="Y70" s="45">
        <f>INDEX(ProcDataGenPre2012!$AV$9:$BF$22,MATCH($A70,ProcDataGenPre2012!$C$9:$C$22,0),MATCH(Y$65,ProcDataGenPre2012!$AV$5:$BF$5,0))*1000</f>
        <v>1900</v>
      </c>
      <c r="Z70" s="45">
        <f>INDEX(ProcDataGenPre2012!$AV$9:$BF$22,MATCH($A70,ProcDataGenPre2012!$C$9:$C$22,0),MATCH(Z$65,ProcDataGenPre2012!$AV$5:$BF$5,0))*1000</f>
        <v>1424.9999999999998</v>
      </c>
      <c r="AA70" s="45">
        <f>INDEX(ProcDataGenPre2012!$AV$9:$BF$22,MATCH($A70,ProcDataGenPre2012!$C$9:$C$22,0),MATCH(AA$65,ProcDataGenPre2012!$AV$5:$BF$5,0))*1000</f>
        <v>474.99999999999977</v>
      </c>
      <c r="AB70" s="45">
        <f>INDEX(ProcDataGenPre2012!$AV$9:$BF$22,MATCH($A70,ProcDataGenPre2012!$C$9:$C$22,0),MATCH(AB$65,ProcDataGenPre2012!$AV$5:$BF$5,0))*1000</f>
        <v>0</v>
      </c>
      <c r="AC70" s="45">
        <f>INDEX(ProcDataGenPre2012!$AV$9:$BG$22,MATCH($A70,ProcDataGenPre2012!$C$9:$C$22,0),MATCH(AC$65,ProcDataGenPre2012!$AV$5:$BG$5,0))*1000</f>
        <v>0</v>
      </c>
    </row>
    <row r="71" spans="1:29" x14ac:dyDescent="0.2">
      <c r="A71" s="81" t="s">
        <v>441</v>
      </c>
      <c r="J71" s="45">
        <f>INDEX(EskomCoalNERSACombined!$C$44:$C$56,MATCH(A71,EskomCoalNERSACombined!$B$44:$B$56,0))</f>
        <v>3558</v>
      </c>
      <c r="O71" s="45">
        <v>3558</v>
      </c>
      <c r="Q71" s="45">
        <f>SUMIF(EskomCoalNERSACombined!$B$44:$B$58,A140,EskomCoalNERSACombined!$G$44:$G$58)</f>
        <v>3558</v>
      </c>
      <c r="R71" s="45">
        <f>INDEX(ProcDataGenPre2012!$AV$9:$BF$22,MATCH($A71,ProcDataGenPre2012!$C$9:$C$22,0),MATCH(R$65,ProcDataGenPre2012!$AV$5:$BF$5,0))*1000</f>
        <v>3558</v>
      </c>
      <c r="S71" s="45">
        <f>INDEX(ProcDataGenPre2012!$AV$9:$BF$22,MATCH($A71,ProcDataGenPre2012!$C$9:$C$22,0),MATCH(S$65,ProcDataGenPre2012!$AV$5:$BF$5,0))*1000</f>
        <v>3558</v>
      </c>
      <c r="T71" s="45">
        <f>INDEX(ProcDataGenPre2012!$AV$9:$BF$22,MATCH($A71,ProcDataGenPre2012!$C$9:$C$22,0),MATCH(T$65,ProcDataGenPre2012!$AV$5:$BF$5,0))*1000</f>
        <v>3558</v>
      </c>
      <c r="U71" s="45">
        <f>INDEX(ProcDataGenPre2012!$AV$9:$BF$22,MATCH($A71,ProcDataGenPre2012!$C$9:$C$22,0),MATCH(U$65,ProcDataGenPre2012!$AV$5:$BF$5,0))*1000</f>
        <v>3558</v>
      </c>
      <c r="V71" s="45">
        <f>INDEX(ProcDataGenPre2012!$AV$9:$BF$22,MATCH($A71,ProcDataGenPre2012!$C$9:$C$22,0),MATCH(V$65,ProcDataGenPre2012!$AV$5:$BF$5,0))*1000</f>
        <v>3558</v>
      </c>
      <c r="W71" s="45">
        <f>INDEX(ProcDataGenPre2012!$AV$9:$BF$22,MATCH($A71,ProcDataGenPre2012!$C$9:$C$22,0),MATCH(W$65,ProcDataGenPre2012!$AV$5:$BF$5,0))*1000</f>
        <v>3558</v>
      </c>
      <c r="X71" s="45">
        <f>INDEX(ProcDataGenPre2012!$AV$9:$BF$22,MATCH($A71,ProcDataGenPre2012!$C$9:$C$22,0),MATCH(X$65,ProcDataGenPre2012!$AV$5:$BF$5,0))*1000</f>
        <v>3558</v>
      </c>
      <c r="Y71" s="45">
        <f>INDEX(ProcDataGenPre2012!$AV$9:$BF$22,MATCH($A71,ProcDataGenPre2012!$C$9:$C$22,0),MATCH(Y$65,ProcDataGenPre2012!$AV$5:$BF$5,0))*1000</f>
        <v>3558</v>
      </c>
      <c r="Z71" s="45">
        <f>INDEX(ProcDataGenPre2012!$AV$9:$BF$22,MATCH($A71,ProcDataGenPre2012!$C$9:$C$22,0),MATCH(Z$65,ProcDataGenPre2012!$AV$5:$BF$5,0))*1000</f>
        <v>3558</v>
      </c>
      <c r="AA71" s="45">
        <f>INDEX(ProcDataGenPre2012!$AV$9:$BF$22,MATCH($A71,ProcDataGenPre2012!$C$9:$C$22,0),MATCH(AA$65,ProcDataGenPre2012!$AV$5:$BF$5,0))*1000</f>
        <v>3558</v>
      </c>
      <c r="AB71" s="45">
        <f>INDEX(ProcDataGenPre2012!$AV$9:$BF$22,MATCH($A71,ProcDataGenPre2012!$C$9:$C$22,0),MATCH(AB$65,ProcDataGenPre2012!$AV$5:$BF$5,0))*1000</f>
        <v>3558</v>
      </c>
      <c r="AC71" s="45">
        <f>INDEX(ProcDataGenPre2012!$AV$9:$BG$22,MATCH($A71,ProcDataGenPre2012!$C$9:$C$22,0),MATCH(AC$65,ProcDataGenPre2012!$AV$5:$BG$5,0))*1000</f>
        <v>3558</v>
      </c>
    </row>
    <row r="72" spans="1:29" x14ac:dyDescent="0.2">
      <c r="A72" s="81" t="s">
        <v>434</v>
      </c>
      <c r="J72" s="45">
        <f>INDEX(EskomCoalNERSACombined!$C$44:$C$56,MATCH(A72,EskomCoalNERSACombined!$B$44:$B$56,0))</f>
        <v>3690</v>
      </c>
      <c r="O72" s="45">
        <v>3690</v>
      </c>
      <c r="Q72" s="45">
        <f>SUMIF(EskomCoalNERSACombined!$B$44:$B$58,A141,EskomCoalNERSACombined!$G$44:$G$58)</f>
        <v>3690</v>
      </c>
      <c r="R72" s="45">
        <f>INDEX(ProcDataGenPre2012!$AV$9:$BF$22,MATCH($A72,ProcDataGenPre2012!$C$9:$C$22,0),MATCH(R$65,ProcDataGenPre2012!$AV$5:$BF$5,0))*1000</f>
        <v>3690</v>
      </c>
      <c r="S72" s="45">
        <f>INDEX(ProcDataGenPre2012!$AV$9:$BF$22,MATCH($A72,ProcDataGenPre2012!$C$9:$C$22,0),MATCH(S$65,ProcDataGenPre2012!$AV$5:$BF$5,0))*1000</f>
        <v>3690</v>
      </c>
      <c r="T72" s="45">
        <f>INDEX(ProcDataGenPre2012!$AV$9:$BF$22,MATCH($A72,ProcDataGenPre2012!$C$9:$C$22,0),MATCH(T$65,ProcDataGenPre2012!$AV$5:$BF$5,0))*1000</f>
        <v>3690</v>
      </c>
      <c r="U72" s="45">
        <f>INDEX(ProcDataGenPre2012!$AV$9:$BF$22,MATCH($A72,ProcDataGenPre2012!$C$9:$C$22,0),MATCH(U$65,ProcDataGenPre2012!$AV$5:$BF$5,0))*1000</f>
        <v>3690</v>
      </c>
      <c r="V72" s="45">
        <f>INDEX(ProcDataGenPre2012!$AV$9:$BF$22,MATCH($A72,ProcDataGenPre2012!$C$9:$C$22,0),MATCH(V$65,ProcDataGenPre2012!$AV$5:$BF$5,0))*1000</f>
        <v>3690</v>
      </c>
      <c r="W72" s="45">
        <f>INDEX(ProcDataGenPre2012!$AV$9:$BF$22,MATCH($A72,ProcDataGenPre2012!$C$9:$C$22,0),MATCH(W$65,ProcDataGenPre2012!$AV$5:$BF$5,0))*1000</f>
        <v>3690</v>
      </c>
      <c r="X72" s="45">
        <f>INDEX(ProcDataGenPre2012!$AV$9:$BF$22,MATCH($A72,ProcDataGenPre2012!$C$9:$C$22,0),MATCH(X$65,ProcDataGenPre2012!$AV$5:$BF$5,0))*1000</f>
        <v>3690</v>
      </c>
      <c r="Y72" s="45">
        <f>INDEX(ProcDataGenPre2012!$AV$9:$BF$22,MATCH($A72,ProcDataGenPre2012!$C$9:$C$22,0),MATCH(Y$65,ProcDataGenPre2012!$AV$5:$BF$5,0))*1000</f>
        <v>3690</v>
      </c>
      <c r="Z72" s="45">
        <f>INDEX(ProcDataGenPre2012!$AV$9:$BF$22,MATCH($A72,ProcDataGenPre2012!$C$9:$C$22,0),MATCH(Z$65,ProcDataGenPre2012!$AV$5:$BF$5,0))*1000</f>
        <v>3690</v>
      </c>
      <c r="AA72" s="45">
        <f>INDEX(ProcDataGenPre2012!$AV$9:$BF$22,MATCH($A72,ProcDataGenPre2012!$C$9:$C$22,0),MATCH(AA$65,ProcDataGenPre2012!$AV$5:$BF$5,0))*1000</f>
        <v>3690</v>
      </c>
      <c r="AB72" s="45">
        <f>INDEX(ProcDataGenPre2012!$AV$9:$BF$22,MATCH($A72,ProcDataGenPre2012!$C$9:$C$22,0),MATCH(AB$65,ProcDataGenPre2012!$AV$5:$BF$5,0))*1000</f>
        <v>3690</v>
      </c>
      <c r="AC72" s="45">
        <f>INDEX(ProcDataGenPre2012!$AV$9:$BG$22,MATCH($A72,ProcDataGenPre2012!$C$9:$C$22,0),MATCH(AC$65,ProcDataGenPre2012!$AV$5:$BG$5,0))*1000</f>
        <v>3690</v>
      </c>
    </row>
    <row r="73" spans="1:29" x14ac:dyDescent="0.2">
      <c r="A73" s="81" t="s">
        <v>407</v>
      </c>
      <c r="J73" s="45">
        <f>INDEX(EskomCoalNERSACombined!$C$44:$C$56,MATCH(A73,EskomCoalNERSACombined!$B$44:$B$56,0))</f>
        <v>3843</v>
      </c>
      <c r="O73" s="45">
        <v>3843</v>
      </c>
      <c r="Q73" s="45">
        <f>SUMIF(EskomCoalNERSACombined!$B$44:$B$58,A142,EskomCoalNERSACombined!$G$44:$G$58)</f>
        <v>3843</v>
      </c>
      <c r="R73" s="45">
        <f>INDEX(ProcDataGenPre2012!$AV$9:$BF$22,MATCH("Majuba dry",ProcDataGenPre2012!$C$9:$C$22,0),MATCH(R$65,ProcDataGenPre2012!$AV$5:$BF$5,0))*1000+INDEX(ProcDataGenPre2012!$AV$9:$BF$22,MATCH("Majuba wet",ProcDataGenPre2012!$C$9:$C$22,0),MATCH(R$65,ProcDataGenPre2012!$AV$5:$BF$5,0))*1000</f>
        <v>3843</v>
      </c>
      <c r="S73" s="45">
        <f>INDEX(ProcDataGenPre2012!$AV$9:$BF$22,MATCH("Majuba dry",ProcDataGenPre2012!$C$9:$C$22,0),MATCH(S$65,ProcDataGenPre2012!$AV$5:$BF$5,0))*1000+INDEX(ProcDataGenPre2012!$AV$9:$BF$22,MATCH("Majuba wet",ProcDataGenPre2012!$C$9:$C$22,0),MATCH(S$65,ProcDataGenPre2012!$AV$5:$BF$5,0))*1000</f>
        <v>3843</v>
      </c>
      <c r="T73" s="45">
        <f>INDEX(ProcDataGenPre2012!$AV$9:$BF$22,MATCH("Majuba dry",ProcDataGenPre2012!$C$9:$C$22,0),MATCH(T$65,ProcDataGenPre2012!$AV$5:$BF$5,0))*1000+INDEX(ProcDataGenPre2012!$AV$9:$BF$22,MATCH("Majuba wet",ProcDataGenPre2012!$C$9:$C$22,0),MATCH(T$65,ProcDataGenPre2012!$AV$5:$BF$5,0))*1000</f>
        <v>3843</v>
      </c>
      <c r="U73" s="45">
        <f>INDEX(ProcDataGenPre2012!$AV$9:$BF$22,MATCH("Majuba dry",ProcDataGenPre2012!$C$9:$C$22,0),MATCH(U$65,ProcDataGenPre2012!$AV$5:$BF$5,0))*1000+INDEX(ProcDataGenPre2012!$AV$9:$BF$22,MATCH("Majuba wet",ProcDataGenPre2012!$C$9:$C$22,0),MATCH(U$65,ProcDataGenPre2012!$AV$5:$BF$5,0))*1000</f>
        <v>3843</v>
      </c>
      <c r="V73" s="45">
        <f>INDEX(ProcDataGenPre2012!$AV$9:$BF$22,MATCH("Majuba dry",ProcDataGenPre2012!$C$9:$C$22,0),MATCH(V$65,ProcDataGenPre2012!$AV$5:$BF$5,0))*1000+INDEX(ProcDataGenPre2012!$AV$9:$BF$22,MATCH("Majuba wet",ProcDataGenPre2012!$C$9:$C$22,0),MATCH(V$65,ProcDataGenPre2012!$AV$5:$BF$5,0))*1000</f>
        <v>3843</v>
      </c>
      <c r="W73" s="45">
        <f>INDEX(ProcDataGenPre2012!$AV$9:$BF$22,MATCH("Majuba dry",ProcDataGenPre2012!$C$9:$C$22,0),MATCH(W$65,ProcDataGenPre2012!$AV$5:$BF$5,0))*1000+INDEX(ProcDataGenPre2012!$AV$9:$BF$22,MATCH("Majuba wet",ProcDataGenPre2012!$C$9:$C$22,0),MATCH(W$65,ProcDataGenPre2012!$AV$5:$BF$5,0))*1000</f>
        <v>3843</v>
      </c>
      <c r="X73" s="45">
        <f>INDEX(ProcDataGenPre2012!$AV$9:$BF$22,MATCH("Majuba dry",ProcDataGenPre2012!$C$9:$C$22,0),MATCH(X$65,ProcDataGenPre2012!$AV$5:$BF$5,0))*1000+INDEX(ProcDataGenPre2012!$AV$9:$BF$22,MATCH("Majuba wet",ProcDataGenPre2012!$C$9:$C$22,0),MATCH(X$65,ProcDataGenPre2012!$AV$5:$BF$5,0))*1000</f>
        <v>3843</v>
      </c>
      <c r="Y73" s="45">
        <f>INDEX(ProcDataGenPre2012!$AV$9:$BF$22,MATCH("Majuba dry",ProcDataGenPre2012!$C$9:$C$22,0),MATCH(Y$65,ProcDataGenPre2012!$AV$5:$BF$5,0))*1000+INDEX(ProcDataGenPre2012!$AV$9:$BF$22,MATCH("Majuba wet",ProcDataGenPre2012!$C$9:$C$22,0),MATCH(Y$65,ProcDataGenPre2012!$AV$5:$BF$5,0))*1000</f>
        <v>3843</v>
      </c>
      <c r="Z73" s="45">
        <f>INDEX(ProcDataGenPre2012!$AV$9:$BF$22,MATCH("Majuba dry",ProcDataGenPre2012!$C$9:$C$22,0),MATCH(Z$65,ProcDataGenPre2012!$AV$5:$BF$5,0))*1000+INDEX(ProcDataGenPre2012!$AV$9:$BF$22,MATCH("Majuba wet",ProcDataGenPre2012!$C$9:$C$22,0),MATCH(Z$65,ProcDataGenPre2012!$AV$5:$BF$5,0))*1000</f>
        <v>3843</v>
      </c>
      <c r="AA73" s="45">
        <f>INDEX(ProcDataGenPre2012!$AV$9:$BF$22,MATCH("Majuba dry",ProcDataGenPre2012!$C$9:$C$22,0),MATCH(AA$65,ProcDataGenPre2012!$AV$5:$BF$5,0))*1000+INDEX(ProcDataGenPre2012!$AV$9:$BF$22,MATCH("Majuba wet",ProcDataGenPre2012!$C$9:$C$22,0),MATCH(AA$65,ProcDataGenPre2012!$AV$5:$BF$5,0))*1000</f>
        <v>3843</v>
      </c>
      <c r="AB73" s="45">
        <f>INDEX(ProcDataGenPre2012!$AV$9:$BF$22,MATCH("Majuba dry",ProcDataGenPre2012!$C$9:$C$22,0),MATCH(AB$65,ProcDataGenPre2012!$AV$5:$BF$5,0))*1000+INDEX(ProcDataGenPre2012!$AV$9:$BF$22,MATCH("Majuba wet",ProcDataGenPre2012!$C$9:$C$22,0),MATCH(AB$65,ProcDataGenPre2012!$AV$5:$BF$5,0))*1000</f>
        <v>3843</v>
      </c>
      <c r="AC73" s="45">
        <f>INDEX(ProcDataGenPre2012!$AV$9:$BG$22,MATCH("Majuba dry",ProcDataGenPre2012!$C$9:$C$22,0),MATCH(AC$65,ProcDataGenPre2012!$AV$5:$BG$5,0))*1000+INDEX(ProcDataGenPre2012!$AV$9:$BG$22,MATCH("Majuba wet",ProcDataGenPre2012!$C$9:$C$22,0),MATCH(AC$65,ProcDataGenPre2012!$AV$5:$BG$5,0))*1000</f>
        <v>3843</v>
      </c>
    </row>
    <row r="74" spans="1:29" x14ac:dyDescent="0.2">
      <c r="A74" s="81" t="s">
        <v>413</v>
      </c>
      <c r="J74" s="45">
        <f>INDEX(EskomCoalNERSACombined!$C$44:$C$56,MATCH(A74,EskomCoalNERSACombined!$B$44:$B$56,0))</f>
        <v>3450</v>
      </c>
      <c r="O74" s="45">
        <v>3450</v>
      </c>
      <c r="Q74" s="45">
        <f>SUMIF(EskomCoalNERSACombined!$B$44:$B$58,A143,EskomCoalNERSACombined!$G$44:$G$58)</f>
        <v>3450</v>
      </c>
      <c r="R74" s="45">
        <f>INDEX(ProcDataGenPre2012!$AV$9:$BF$22,MATCH("Majuba dry",ProcDataGenPre2012!$C$9:$C$22,0),MATCH(R$65,ProcDataGenPre2012!$AV$5:$BF$5,0))*1000+INDEX(ProcDataGenPre2012!$AV$9:$BF$22,MATCH("Majuba wet",ProcDataGenPre2012!$C$9:$C$22,0),MATCH(R$65,ProcDataGenPre2012!$AV$5:$BF$5,0))*1000</f>
        <v>3843</v>
      </c>
      <c r="S74" s="45">
        <f>INDEX(ProcDataGenPre2012!$AV$9:$BF$22,MATCH($A74,ProcDataGenPre2012!$C$9:$C$22,0),MATCH(S$65,ProcDataGenPre2012!$AV$5:$BF$5,0))*1000</f>
        <v>3450</v>
      </c>
      <c r="T74" s="45">
        <f>INDEX(ProcDataGenPre2012!$AV$9:$BF$22,MATCH($A74,ProcDataGenPre2012!$C$9:$C$22,0),MATCH(T$65,ProcDataGenPre2012!$AV$5:$BF$5,0))*1000</f>
        <v>3450</v>
      </c>
      <c r="U74" s="45">
        <f>INDEX(ProcDataGenPre2012!$AV$9:$BF$22,MATCH($A74,ProcDataGenPre2012!$C$9:$C$22,0),MATCH(U$65,ProcDataGenPre2012!$AV$5:$BF$5,0))*1000</f>
        <v>3450</v>
      </c>
      <c r="V74" s="45">
        <f>INDEX(ProcDataGenPre2012!$AV$9:$BF$22,MATCH($A74,ProcDataGenPre2012!$C$9:$C$22,0),MATCH(V$65,ProcDataGenPre2012!$AV$5:$BF$5,0))*1000</f>
        <v>3450</v>
      </c>
      <c r="W74" s="45">
        <f>INDEX(ProcDataGenPre2012!$AV$9:$BF$22,MATCH($A74,ProcDataGenPre2012!$C$9:$C$22,0),MATCH(W$65,ProcDataGenPre2012!$AV$5:$BF$5,0))*1000</f>
        <v>3450</v>
      </c>
      <c r="X74" s="45">
        <f>INDEX(ProcDataGenPre2012!$AV$9:$BF$22,MATCH($A74,ProcDataGenPre2012!$C$9:$C$22,0),MATCH(X$65,ProcDataGenPre2012!$AV$5:$BF$5,0))*1000</f>
        <v>3450</v>
      </c>
      <c r="Y74" s="45">
        <f>INDEX(ProcDataGenPre2012!$AV$9:$BF$22,MATCH($A74,ProcDataGenPre2012!$C$9:$C$22,0),MATCH(Y$65,ProcDataGenPre2012!$AV$5:$BF$5,0))*1000</f>
        <v>3450</v>
      </c>
      <c r="Z74" s="45">
        <f>INDEX(ProcDataGenPre2012!$AV$9:$BF$22,MATCH($A74,ProcDataGenPre2012!$C$9:$C$22,0),MATCH(Z$65,ProcDataGenPre2012!$AV$5:$BF$5,0))*1000</f>
        <v>3450</v>
      </c>
      <c r="AA74" s="45">
        <f>INDEX(ProcDataGenPre2012!$AV$9:$BF$22,MATCH($A74,ProcDataGenPre2012!$C$9:$C$22,0),MATCH(AA$65,ProcDataGenPre2012!$AV$5:$BF$5,0))*1000</f>
        <v>3450</v>
      </c>
      <c r="AB74" s="45">
        <f>INDEX(ProcDataGenPre2012!$AV$9:$BF$22,MATCH($A74,ProcDataGenPre2012!$C$9:$C$22,0),MATCH(AB$65,ProcDataGenPre2012!$AV$5:$BF$5,0))*1000</f>
        <v>2875</v>
      </c>
      <c r="AC74" s="45">
        <f>INDEX(ProcDataGenPre2012!$AV$9:$BG$22,MATCH($A74,ProcDataGenPre2012!$C$9:$C$22,0),MATCH(AC$65,ProcDataGenPre2012!$AV$5:$BG$5,0))*1000</f>
        <v>1724.9999999999998</v>
      </c>
    </row>
    <row r="75" spans="1:29" x14ac:dyDescent="0.2">
      <c r="A75" s="81" t="s">
        <v>426</v>
      </c>
      <c r="J75" s="45">
        <v>0</v>
      </c>
      <c r="O75" s="45">
        <v>2157</v>
      </c>
      <c r="Q75" s="45">
        <f>SUMIF(EskomCoalNERSACombined!$B$44:$B$58,A144,EskomCoalNERSACombined!$G$44:$G$58)</f>
        <v>2157</v>
      </c>
      <c r="R75" s="45">
        <f>Q75</f>
        <v>2157</v>
      </c>
      <c r="S75" s="45">
        <f>720*6</f>
        <v>4320</v>
      </c>
      <c r="T75" s="45">
        <f>720*6</f>
        <v>4320</v>
      </c>
      <c r="U75" s="45">
        <f>720*6</f>
        <v>4320</v>
      </c>
      <c r="V75" s="45">
        <f>720*6</f>
        <v>4320</v>
      </c>
      <c r="W75" s="45">
        <f>720*6</f>
        <v>4320</v>
      </c>
      <c r="X75" s="45">
        <f t="shared" ref="X75:AC75" si="4">720*6</f>
        <v>4320</v>
      </c>
      <c r="Y75" s="45">
        <f t="shared" si="4"/>
        <v>4320</v>
      </c>
      <c r="Z75" s="45">
        <f t="shared" si="4"/>
        <v>4320</v>
      </c>
      <c r="AA75" s="45">
        <f t="shared" si="4"/>
        <v>4320</v>
      </c>
      <c r="AB75" s="45">
        <f>W75</f>
        <v>4320</v>
      </c>
      <c r="AC75" s="45">
        <f t="shared" si="4"/>
        <v>4320</v>
      </c>
    </row>
    <row r="76" spans="1:29" x14ac:dyDescent="0.2">
      <c r="A76" s="81" t="s">
        <v>418</v>
      </c>
      <c r="J76" s="45">
        <f>INDEX(EskomCoalNERSACombined!$C$44:$C$56,MATCH(A76,EskomCoalNERSACombined!$B$44:$B$56,0))</f>
        <v>3510</v>
      </c>
      <c r="O76" s="45">
        <v>3510</v>
      </c>
      <c r="Q76" s="45">
        <f>SUMIF(EskomCoalNERSACombined!$B$44:$B$58,A145,EskomCoalNERSACombined!$G$44:$G$58)</f>
        <v>3510</v>
      </c>
      <c r="R76" s="45">
        <f>INDEX(ProcDataGenPre2012!$AV$9:$AX$22,MATCH($A76,ProcDataGenPre2012!$C$9:$C$22,0),MATCH(R$65,ProcDataGenPre2012!$AV$5:$BF$5,0))*1000</f>
        <v>3510</v>
      </c>
      <c r="S76" s="45">
        <f>INDEX(ProcDataGenPre2012!$AV$9:$BF$22,MATCH($A76,ProcDataGenPre2012!$C$9:$C$22,0),MATCH(S$65,ProcDataGenPre2012!$AV$5:$BF$5,0))*1000</f>
        <v>3510</v>
      </c>
      <c r="T76" s="45">
        <f>INDEX(ProcDataGenPre2012!$AV$9:$BF$22,MATCH($A76,ProcDataGenPre2012!$C$9:$C$22,0),MATCH(T$65,ProcDataGenPre2012!$AV$5:$BF$5,0))*1000</f>
        <v>3510</v>
      </c>
      <c r="U76" s="45">
        <f>INDEX(ProcDataGenPre2012!$AV$9:$BF$22,MATCH($A76,ProcDataGenPre2012!$C$9:$C$22,0),MATCH(U$65,ProcDataGenPre2012!$AV$5:$BF$5,0))*1000</f>
        <v>3510</v>
      </c>
      <c r="V76" s="45">
        <f>INDEX(ProcDataGenPre2012!$AV$9:$BF$22,MATCH($A76,ProcDataGenPre2012!$C$9:$C$22,0),MATCH(V$65,ProcDataGenPre2012!$AV$5:$BF$5,0))*1000</f>
        <v>3510</v>
      </c>
      <c r="W76" s="45">
        <f>INDEX(ProcDataGenPre2012!$AV$9:$BF$22,MATCH($A76,ProcDataGenPre2012!$C$9:$C$22,0),MATCH(W$65,ProcDataGenPre2012!$AV$5:$BF$5,0))*1000</f>
        <v>3510</v>
      </c>
      <c r="X76" s="45">
        <f>INDEX(ProcDataGenPre2012!$AV$9:$BF$22,MATCH($A76,ProcDataGenPre2012!$C$9:$C$22,0),MATCH(X$65,ProcDataGenPre2012!$AV$5:$BF$5,0))*1000</f>
        <v>3510</v>
      </c>
      <c r="Y76" s="45">
        <f>INDEX(ProcDataGenPre2012!$AV$9:$BF$22,MATCH($A76,ProcDataGenPre2012!$C$9:$C$22,0),MATCH(Y$65,ProcDataGenPre2012!$AV$5:$BF$5,0))*1000</f>
        <v>3510</v>
      </c>
      <c r="Z76" s="45">
        <f>INDEX(ProcDataGenPre2012!$AV$9:$BF$22,MATCH($A76,ProcDataGenPre2012!$C$9:$C$22,0),MATCH(Z$65,ProcDataGenPre2012!$AV$5:$BF$5,0))*1000</f>
        <v>3510</v>
      </c>
      <c r="AA76" s="45">
        <f>INDEX(ProcDataGenPre2012!$AV$9:$BF$22,MATCH($A76,ProcDataGenPre2012!$C$9:$C$22,0),MATCH(AA$65,ProcDataGenPre2012!$AV$5:$BF$5,0))*1000</f>
        <v>3510</v>
      </c>
      <c r="AB76" s="45">
        <f>INDEX(ProcDataGenPre2012!$AV$9:$BF$22,MATCH($A76,ProcDataGenPre2012!$C$9:$C$22,0),MATCH(AB$65,ProcDataGenPre2012!$AV$5:$BF$5,0))*1000</f>
        <v>0</v>
      </c>
      <c r="AC76" s="45">
        <f>INDEX(ProcDataGenPre2012!$AV$9:$BG$22,MATCH($A76,ProcDataGenPre2012!$C$9:$C$22,0),MATCH(AC$65,ProcDataGenPre2012!$AV$5:$BG$5,0))*1000</f>
        <v>0</v>
      </c>
    </row>
    <row r="77" spans="1:29" x14ac:dyDescent="0.2">
      <c r="A77" s="81" t="s">
        <v>513</v>
      </c>
      <c r="J77" s="45"/>
      <c r="O77" s="45">
        <v>723</v>
      </c>
      <c r="Q77" s="45">
        <v>722</v>
      </c>
      <c r="R77" s="45">
        <f>Q77+ProcDataGen2012On!BD10*1000</f>
        <v>2144</v>
      </c>
      <c r="S77" s="45">
        <f>R77+ProcDataGen2012On!BE10*1000</f>
        <v>2144</v>
      </c>
      <c r="T77" s="45">
        <f>S77+ProcDataGen2012On!BF10*1000</f>
        <v>2144</v>
      </c>
      <c r="U77" s="45">
        <f>T77+ProcDataGen2012On!BG10*1000</f>
        <v>2855</v>
      </c>
      <c r="V77" s="45">
        <f>U77</f>
        <v>2855</v>
      </c>
      <c r="W77" s="45">
        <f t="shared" ref="W77:AC77" si="5">V77</f>
        <v>2855</v>
      </c>
      <c r="X77" s="45">
        <f t="shared" si="5"/>
        <v>2855</v>
      </c>
      <c r="Y77" s="45">
        <f t="shared" si="5"/>
        <v>2855</v>
      </c>
      <c r="Z77" s="45">
        <f t="shared" si="5"/>
        <v>2855</v>
      </c>
      <c r="AA77" s="45">
        <f t="shared" si="5"/>
        <v>2855</v>
      </c>
      <c r="AB77" s="45">
        <f t="shared" si="5"/>
        <v>2855</v>
      </c>
      <c r="AC77" s="45">
        <f t="shared" si="5"/>
        <v>2855</v>
      </c>
    </row>
    <row r="78" spans="1:29" x14ac:dyDescent="0.2">
      <c r="A78" s="81" t="s">
        <v>470</v>
      </c>
      <c r="J78" s="45">
        <f>INDEX(EskomCoalNERSACombined!$C$44:$C$56,MATCH(A78,EskomCoalNERSACombined!$B$44:$B$56,0))</f>
        <v>1450</v>
      </c>
      <c r="O78" s="45">
        <v>1481</v>
      </c>
      <c r="Q78" s="45">
        <f>SUMIF(EskomCoalNERSACombined!$B$44:$B$58,A146,EskomCoalNERSACombined!$G$44:$G$58)</f>
        <v>1481</v>
      </c>
      <c r="R78" s="45">
        <f>INDEX(ProcDataGenPre2012!$AV$9:$AX$22,MATCH($A78,ProcDataGenPre2012!$C$9:$C$22,0),MATCH(R$65,ProcDataGenPre2012!$AV$5:$BF$5,0))*1000</f>
        <v>1481</v>
      </c>
      <c r="S78" s="45">
        <f>INDEX(ProcDataGenPre2012!$AV$9:$BF$22,MATCH($A78,ProcDataGenPre2012!$C$9:$C$22,0),MATCH(S$65,ProcDataGenPre2012!$AV$5:$BF$5,0))*1000</f>
        <v>1481</v>
      </c>
      <c r="T78" s="45">
        <f>INDEX(ProcDataGenPre2012!$AV$9:$BF$22,MATCH($A78,ProcDataGenPre2012!$C$9:$C$22,0),MATCH(T$65,ProcDataGenPre2012!$AV$5:$BF$5,0))*1000</f>
        <v>1481</v>
      </c>
      <c r="U78" s="45">
        <f>INDEX(ProcDataGenPre2012!$AV$9:$BF$22,MATCH($A78,ProcDataGenPre2012!$C$9:$C$22,0),MATCH(U$65,ProcDataGenPre2012!$AV$5:$BF$5,0))*1000</f>
        <v>1481</v>
      </c>
      <c r="V78" s="45">
        <f>INDEX(ProcDataGenPre2012!$AV$9:$BF$22,MATCH($A78,ProcDataGenPre2012!$C$9:$C$22,0),MATCH(V$65,ProcDataGenPre2012!$AV$5:$BF$5,0))*1000</f>
        <v>1057.8571428571429</v>
      </c>
      <c r="W78" s="45">
        <f>INDEX(ProcDataGenPre2012!$AV$9:$BF$22,MATCH($A78,ProcDataGenPre2012!$C$9:$C$22,0),MATCH(W$65,ProcDataGenPre2012!$AV$5:$BF$5,0))*1000</f>
        <v>634.71428571428567</v>
      </c>
      <c r="X78" s="45">
        <f>INDEX(ProcDataGenPre2012!$AV$9:$BF$22,MATCH($A78,ProcDataGenPre2012!$C$9:$C$22,0),MATCH(X$65,ProcDataGenPre2012!$AV$5:$BF$5,0))*1000</f>
        <v>0</v>
      </c>
      <c r="Y78" s="45">
        <f>INDEX(ProcDataGenPre2012!$AV$9:$BF$22,MATCH($A78,ProcDataGenPre2012!$C$9:$C$22,0),MATCH(Y$65,ProcDataGenPre2012!$AV$5:$BF$5,0))*1000</f>
        <v>0</v>
      </c>
      <c r="Z78" s="45">
        <f>INDEX(ProcDataGenPre2012!$AV$9:$BF$22,MATCH($A78,ProcDataGenPre2012!$C$9:$C$22,0),MATCH(Z$65,ProcDataGenPre2012!$AV$5:$BF$5,0))*1000</f>
        <v>0</v>
      </c>
      <c r="AA78" s="45">
        <f>INDEX(ProcDataGenPre2012!$AV$9:$BF$22,MATCH($A78,ProcDataGenPre2012!$C$9:$C$22,0),MATCH(AA$65,ProcDataGenPre2012!$AV$5:$BF$5,0))*1000</f>
        <v>0</v>
      </c>
      <c r="AB78" s="45">
        <f>INDEX(ProcDataGenPre2012!$AV$9:$BF$22,MATCH($A78,ProcDataGenPre2012!$C$9:$C$22,0),MATCH(AB$65,ProcDataGenPre2012!$AV$5:$BF$5,0))*1000</f>
        <v>0</v>
      </c>
      <c r="AC78" s="45">
        <f>INDEX(ProcDataGenPre2012!$AV$9:$BG$22,MATCH($A78,ProcDataGenPre2012!$C$9:$C$22,0),MATCH(AC$65,ProcDataGenPre2012!$AV$5:$BG$5,0))*1000</f>
        <v>0</v>
      </c>
    </row>
    <row r="79" spans="1:29" x14ac:dyDescent="0.2">
      <c r="A79" s="81" t="s">
        <v>405</v>
      </c>
      <c r="J79" s="45">
        <f>INDEX(EskomCoalNERSACombined!$C$44:$C$56,MATCH(A79,EskomCoalNERSACombined!$B$44:$B$56,0))</f>
        <v>1090</v>
      </c>
      <c r="O79" s="45">
        <v>1120</v>
      </c>
      <c r="Q79" s="45">
        <f>SUMIF(EskomCoalNERSACombined!$B$44:$B$58,A147,EskomCoalNERSACombined!$G$44:$G$58)</f>
        <v>570</v>
      </c>
      <c r="R79" s="45">
        <f>INDEX(ProcDataGenPre2012!$AV$9:$AX$22,MATCH($A79,ProcDataGenPre2012!$C$9:$C$22,0),MATCH(R$65,ProcDataGenPre2012!$AV$5:$BF$5,0))*1000</f>
        <v>570</v>
      </c>
      <c r="S79" s="45">
        <f>INDEX(ProcDataGenPre2012!$AV$9:$BF$22,MATCH($A79,ProcDataGenPre2012!$C$9:$C$22,0),MATCH(S$65,ProcDataGenPre2012!$AV$5:$BF$5,0))*1000</f>
        <v>570</v>
      </c>
      <c r="T79" s="45">
        <f>INDEX(ProcDataGenPre2012!$AV$9:$BF$22,MATCH($A79,ProcDataGenPre2012!$C$9:$C$22,0),MATCH(T$65,ProcDataGenPre2012!$AV$5:$BF$5,0))*1000</f>
        <v>570</v>
      </c>
      <c r="U79" s="45">
        <f>INDEX(ProcDataGenPre2012!$AV$9:$BF$22,MATCH($A79,ProcDataGenPre2012!$C$9:$C$22,0),MATCH(U$65,ProcDataGenPre2012!$AV$5:$BF$5,0))*1000</f>
        <v>570</v>
      </c>
      <c r="V79" s="45">
        <f>INDEX(ProcDataGenPre2012!$AV$9:$BF$22,MATCH($A79,ProcDataGenPre2012!$C$9:$C$22,0),MATCH(V$65,ProcDataGenPre2012!$AV$5:$BF$5,0))*1000</f>
        <v>570</v>
      </c>
      <c r="W79" s="45">
        <f>INDEX(ProcDataGenPre2012!$AV$9:$BF$22,MATCH($A79,ProcDataGenPre2012!$C$9:$C$22,0),MATCH(W$65,ProcDataGenPre2012!$AV$5:$BF$5,0))*1000</f>
        <v>570</v>
      </c>
      <c r="X79" s="45">
        <f>INDEX(ProcDataGenPre2012!$AV$9:$BF$22,MATCH($A79,ProcDataGenPre2012!$C$9:$C$22,0),MATCH(X$65,ProcDataGenPre2012!$AV$5:$BF$5,0))*1000</f>
        <v>380</v>
      </c>
      <c r="Y79" s="45">
        <f>INDEX(ProcDataGenPre2012!$AV$9:$BF$22,MATCH($A79,ProcDataGenPre2012!$C$9:$C$22,0),MATCH(Y$65,ProcDataGenPre2012!$AV$5:$BF$5,0))*1000</f>
        <v>190.00000000000003</v>
      </c>
      <c r="Z79" s="45">
        <f>INDEX(ProcDataGenPre2012!$AV$9:$BF$22,MATCH($A79,ProcDataGenPre2012!$C$9:$C$22,0),MATCH(Z$65,ProcDataGenPre2012!$AV$5:$BF$5,0))*1000</f>
        <v>0</v>
      </c>
      <c r="AA79" s="45">
        <f>INDEX(ProcDataGenPre2012!$AV$9:$BF$22,MATCH($A79,ProcDataGenPre2012!$C$9:$C$22,0),MATCH(AA$65,ProcDataGenPre2012!$AV$5:$BF$5,0))*1000</f>
        <v>0</v>
      </c>
      <c r="AB79" s="45">
        <f>INDEX(ProcDataGenPre2012!$AV$9:$BF$22,MATCH($A79,ProcDataGenPre2012!$C$9:$C$22,0),MATCH(AB$65,ProcDataGenPre2012!$AV$5:$BF$5,0))*1000</f>
        <v>0</v>
      </c>
      <c r="AC79" s="45">
        <f>INDEX(ProcDataGenPre2012!$AV$9:$BG$22,MATCH($A79,ProcDataGenPre2012!$C$9:$C$22,0),MATCH(AC$65,ProcDataGenPre2012!$AV$5:$BG$5,0))*1000</f>
        <v>0</v>
      </c>
    </row>
    <row r="80" spans="1:29" x14ac:dyDescent="0.2">
      <c r="A80" s="81" t="s">
        <v>406</v>
      </c>
      <c r="J80" s="45">
        <f>INDEX(EskomCoalNERSACombined!$C$44:$C$56,MATCH(A80,EskomCoalNERSACombined!$B$44:$B$56,0))</f>
        <v>791</v>
      </c>
      <c r="O80" s="45">
        <v>904</v>
      </c>
      <c r="Q80" s="45">
        <f>SUMIF(EskomCoalNERSACombined!$B$44:$B$58,A148,EskomCoalNERSACombined!$G$44:$G$58)</f>
        <v>410</v>
      </c>
      <c r="R80" s="45">
        <f>INDEX(ProcDataGenPre2012!$AV$9:$AX$22,MATCH($A80,ProcDataGenPre2012!$C$9:$C$22,0),MATCH(R$65,ProcDataGenPre2012!$AV$5:$BF$5,0))*1000</f>
        <v>205</v>
      </c>
      <c r="S80" s="45">
        <f>INDEX(ProcDataGenPre2012!$AV$9:$BF$22,MATCH($A80,ProcDataGenPre2012!$C$9:$C$22,0),MATCH(S$65,ProcDataGenPre2012!$AV$5:$BF$5,0))*1000</f>
        <v>102.5</v>
      </c>
      <c r="T80" s="45">
        <f>INDEX(ProcDataGenPre2012!$AV$9:$BF$22,MATCH($A80,ProcDataGenPre2012!$C$9:$C$22,0),MATCH(T$65,ProcDataGenPre2012!$AV$5:$BF$5,0))*1000</f>
        <v>0</v>
      </c>
      <c r="U80" s="45">
        <f>INDEX(ProcDataGenPre2012!$AV$9:$BF$22,MATCH($A80,ProcDataGenPre2012!$C$9:$C$22,0),MATCH(U$65,ProcDataGenPre2012!$AV$5:$BF$5,0))*1000</f>
        <v>0</v>
      </c>
      <c r="V80" s="45">
        <f>INDEX(ProcDataGenPre2012!$AV$9:$BF$22,MATCH($A80,ProcDataGenPre2012!$C$9:$C$22,0),MATCH(V$65,ProcDataGenPre2012!$AV$5:$BF$5,0))*1000</f>
        <v>0</v>
      </c>
      <c r="W80" s="45">
        <f>INDEX(ProcDataGenPre2012!$AV$9:$BF$22,MATCH($A80,ProcDataGenPre2012!$C$9:$C$22,0),MATCH(W$65,ProcDataGenPre2012!$AV$5:$BF$5,0))*1000</f>
        <v>0</v>
      </c>
      <c r="X80" s="45">
        <f>INDEX(ProcDataGenPre2012!$AV$9:$BF$22,MATCH($A80,ProcDataGenPre2012!$C$9:$C$22,0),MATCH(X$65,ProcDataGenPre2012!$AV$5:$BF$5,0))*1000</f>
        <v>0</v>
      </c>
      <c r="Y80" s="45">
        <f>INDEX(ProcDataGenPre2012!$AV$9:$BF$22,MATCH($A80,ProcDataGenPre2012!$C$9:$C$22,0),MATCH(Y$65,ProcDataGenPre2012!$AV$5:$BF$5,0))*1000</f>
        <v>0</v>
      </c>
      <c r="Z80" s="45">
        <f>INDEX(ProcDataGenPre2012!$AV$9:$BF$22,MATCH($A80,ProcDataGenPre2012!$C$9:$C$22,0),MATCH(Z$65,ProcDataGenPre2012!$AV$5:$BF$5,0))*1000</f>
        <v>0</v>
      </c>
      <c r="AA80" s="45">
        <f>INDEX(ProcDataGenPre2012!$AV$9:$BF$22,MATCH($A80,ProcDataGenPre2012!$C$9:$C$22,0),MATCH(AA$65,ProcDataGenPre2012!$AV$5:$BF$5,0))*1000</f>
        <v>0</v>
      </c>
      <c r="AB80" s="45">
        <f>INDEX(ProcDataGenPre2012!$AV$9:$BF$22,MATCH($A80,ProcDataGenPre2012!$C$9:$C$22,0),MATCH(AB$65,ProcDataGenPre2012!$AV$5:$BF$5,0))*1000</f>
        <v>0</v>
      </c>
      <c r="AC80" s="45">
        <f>INDEX(ProcDataGenPre2012!$AV$9:$BG$22,MATCH($A80,ProcDataGenPre2012!$C$9:$C$22,0),MATCH(AC$65,ProcDataGenPre2012!$AV$5:$BG$5,0))*1000</f>
        <v>0</v>
      </c>
    </row>
    <row r="81" spans="1:43" x14ac:dyDescent="0.2">
      <c r="A81" s="81" t="s">
        <v>540</v>
      </c>
      <c r="J81" s="45"/>
      <c r="O81" s="45"/>
      <c r="Q81" s="45"/>
      <c r="R81" s="340">
        <f>SUM(R66:R80)</f>
        <v>38091</v>
      </c>
      <c r="S81" s="340">
        <f t="shared" ref="S81:AC81" si="6">SUM(S66:S80)</f>
        <v>39573.78571428571</v>
      </c>
      <c r="T81" s="340">
        <f t="shared" si="6"/>
        <v>39471.28571428571</v>
      </c>
      <c r="U81" s="340">
        <f t="shared" si="6"/>
        <v>39997.571428571428</v>
      </c>
      <c r="V81" s="340">
        <f t="shared" si="6"/>
        <v>39389.71428571429</v>
      </c>
      <c r="W81" s="340">
        <f t="shared" si="6"/>
        <v>38227.714285714283</v>
      </c>
      <c r="X81" s="340">
        <f t="shared" si="6"/>
        <v>36184</v>
      </c>
      <c r="Y81" s="340">
        <f t="shared" si="6"/>
        <v>34775</v>
      </c>
      <c r="Z81" s="340">
        <f t="shared" si="6"/>
        <v>34110</v>
      </c>
      <c r="AA81" s="340">
        <f t="shared" si="6"/>
        <v>32416</v>
      </c>
      <c r="AB81" s="340">
        <f t="shared" si="6"/>
        <v>27856</v>
      </c>
      <c r="AC81" s="340">
        <f t="shared" si="6"/>
        <v>26706</v>
      </c>
    </row>
    <row r="82" spans="1:43" x14ac:dyDescent="0.2">
      <c r="A82" s="81" t="s">
        <v>539</v>
      </c>
      <c r="B82" s="77" t="str">
        <f>ProcDataGenPre2012!$C$29</f>
        <v>Nuclear Existing</v>
      </c>
      <c r="J82" s="45"/>
      <c r="R82" s="45">
        <f>INDEX(ProcDataGenPre2012!$AV$9:$BF$32,MATCH($B82,ProcDataGenPre2012!$C$9:$C$32,0),MATCH(R$65,ProcDataGenPre2012!$AV$5:$BF$5,0))*1000</f>
        <v>1860</v>
      </c>
      <c r="S82" s="45">
        <f>INDEX(ProcDataGenPre2012!$AV$9:$BF$32,MATCH($B82,ProcDataGenPre2012!$C$9:$C$32,0),MATCH(S$65,ProcDataGenPre2012!$AV$5:$BF$5,0))*1000</f>
        <v>1860</v>
      </c>
      <c r="T82" s="45">
        <f>INDEX(ProcDataGenPre2012!$AV$9:$BF$32,MATCH($B82,ProcDataGenPre2012!$C$9:$C$32,0),MATCH(T$65,ProcDataGenPre2012!$AV$5:$BF$5,0))*1000</f>
        <v>1860</v>
      </c>
      <c r="U82" s="45">
        <f>INDEX(ProcDataGenPre2012!$AV$9:$BF$32,MATCH($B82,ProcDataGenPre2012!$C$9:$C$32,0),MATCH(U$65,ProcDataGenPre2012!$AV$5:$BF$5,0))*1000</f>
        <v>1860</v>
      </c>
      <c r="V82" s="45">
        <f>INDEX(ProcDataGenPre2012!$AV$9:$BF$32,MATCH($B82,ProcDataGenPre2012!$C$9:$C$32,0),MATCH(V$65,ProcDataGenPre2012!$AV$5:$BF$5,0))*1000</f>
        <v>1860</v>
      </c>
      <c r="W82" s="45">
        <f>INDEX(ProcDataGenPre2012!$AV$9:$BF$32,MATCH($B82,ProcDataGenPre2012!$C$9:$C$32,0),MATCH(W$65,ProcDataGenPre2012!$AV$5:$BF$5,0))*1000</f>
        <v>1860</v>
      </c>
      <c r="X82" s="45">
        <f>INDEX(ProcDataGenPre2012!$AV$9:$BF$32,MATCH($B82,ProcDataGenPre2012!$C$9:$C$32,0),MATCH(X$65,ProcDataGenPre2012!$AV$5:$BF$5,0))*1000</f>
        <v>1860</v>
      </c>
      <c r="Y82" s="45">
        <f>INDEX(ProcDataGenPre2012!$AV$9:$BF$32,MATCH($B82,ProcDataGenPre2012!$C$9:$C$32,0),MATCH(Y$65,ProcDataGenPre2012!$AV$5:$BF$5,0))*1000</f>
        <v>1860</v>
      </c>
      <c r="Z82" s="45">
        <f>INDEX(ProcDataGenPre2012!$AV$9:$BF$32,MATCH($B82,ProcDataGenPre2012!$C$9:$C$32,0),MATCH(Z$65,ProcDataGenPre2012!$AV$5:$BF$5,0))*1000</f>
        <v>1860</v>
      </c>
      <c r="AA82" s="45">
        <f>INDEX(ProcDataGenPre2012!$AV$9:$BF$32,MATCH($B82,ProcDataGenPre2012!$C$9:$C$32,0),MATCH(AA$65,ProcDataGenPre2012!$AV$5:$BF$5,0))*1000</f>
        <v>1860</v>
      </c>
      <c r="AB82" s="45">
        <f>INDEX(ProcDataGenPre2012!$AV$9:$BF$32,MATCH($B82,ProcDataGenPre2012!$C$9:$C$32,0),MATCH(AB$65,ProcDataGenPre2012!$AV$5:$BF$5,0))*1000</f>
        <v>1860</v>
      </c>
      <c r="AC82" s="45">
        <f>INDEX(ProcDataGenPre2012!$AV$9:$BG$32,MATCH($B82,ProcDataGenPre2012!$C$9:$C$32,0),MATCH(AC$65,ProcDataGenPre2012!$AV$5:$BG$5,0))*1000</f>
        <v>1860</v>
      </c>
    </row>
    <row r="83" spans="1:43" x14ac:dyDescent="0.2">
      <c r="A83" s="81" t="s">
        <v>537</v>
      </c>
      <c r="B83" s="77" t="str">
        <f>ProcDataGenPre2012!$C$26</f>
        <v>OCGT liquid fuels Existing</v>
      </c>
      <c r="J83" s="45"/>
      <c r="R83" s="45">
        <f>INDEX(ProcDataGenPre2012!$AV$9:$BF$32,MATCH($B83,ProcDataGenPre2012!$C$9:$C$32,0),MATCH(R$65,ProcDataGenPre2012!$AV$5:$BF$5,0))*1000</f>
        <v>2400</v>
      </c>
      <c r="S83" s="45">
        <f>INDEX(ProcDataGenPre2012!$AV$9:$BF$32,MATCH($B83,ProcDataGenPre2012!$C$9:$C$32,0),MATCH(S$65,ProcDataGenPre2012!$AV$5:$BF$5,0))*1000</f>
        <v>2400</v>
      </c>
      <c r="T83" s="45">
        <f>INDEX(ProcDataGenPre2012!$AV$9:$BF$32,MATCH($B83,ProcDataGenPre2012!$C$9:$C$32,0),MATCH(T$65,ProcDataGenPre2012!$AV$5:$BF$5,0))*1000</f>
        <v>2400</v>
      </c>
      <c r="U83" s="45">
        <f>INDEX(ProcDataGenPre2012!$AV$9:$BF$32,MATCH($B83,ProcDataGenPre2012!$C$9:$C$32,0),MATCH(U$65,ProcDataGenPre2012!$AV$5:$BF$5,0))*1000</f>
        <v>2400</v>
      </c>
      <c r="V83" s="45">
        <f>INDEX(ProcDataGenPre2012!$AV$9:$BF$32,MATCH($B83,ProcDataGenPre2012!$C$9:$C$32,0),MATCH(V$65,ProcDataGenPre2012!$AV$5:$BF$5,0))*1000</f>
        <v>2400</v>
      </c>
      <c r="W83" s="45">
        <f>INDEX(ProcDataGenPre2012!$AV$9:$BF$32,MATCH($B83,ProcDataGenPre2012!$C$9:$C$32,0),MATCH(W$65,ProcDataGenPre2012!$AV$5:$BF$5,0))*1000</f>
        <v>2400</v>
      </c>
      <c r="X83" s="45">
        <f>INDEX(ProcDataGenPre2012!$AV$9:$BF$32,MATCH($B83,ProcDataGenPre2012!$C$9:$C$32,0),MATCH(X$65,ProcDataGenPre2012!$AV$5:$BF$5,0))*1000</f>
        <v>2400</v>
      </c>
      <c r="Y83" s="45">
        <f>INDEX(ProcDataGenPre2012!$AV$9:$BF$32,MATCH($B83,ProcDataGenPre2012!$C$9:$C$32,0),MATCH(Y$65,ProcDataGenPre2012!$AV$5:$BF$5,0))*1000</f>
        <v>2100</v>
      </c>
      <c r="Z83" s="45">
        <f>INDEX(ProcDataGenPre2012!$AV$9:$BF$32,MATCH($B83,ProcDataGenPre2012!$C$9:$C$32,0),MATCH(Z$65,ProcDataGenPre2012!$AV$5:$BF$5,0))*1000</f>
        <v>2100</v>
      </c>
      <c r="AA83" s="45">
        <f>INDEX(ProcDataGenPre2012!$AV$9:$BF$32,MATCH($B83,ProcDataGenPre2012!$C$9:$C$32,0),MATCH(AA$65,ProcDataGenPre2012!$AV$5:$BF$5,0))*1000</f>
        <v>2100</v>
      </c>
      <c r="AB83" s="45">
        <f>INDEX(ProcDataGenPre2012!$AV$9:$BF$32,MATCH($B83,ProcDataGenPre2012!$C$9:$C$32,0),MATCH(AB$65,ProcDataGenPre2012!$AV$5:$BF$5,0))*1000</f>
        <v>2100</v>
      </c>
      <c r="AC83" s="45">
        <f>INDEX(ProcDataGenPre2012!$AV$9:$BG$32,MATCH($B83,ProcDataGenPre2012!$C$9:$C$32,0),MATCH(AC$65,ProcDataGenPre2012!$AV$5:$BG$5,0))*1000</f>
        <v>2100</v>
      </c>
    </row>
    <row r="84" spans="1:43" x14ac:dyDescent="0.2">
      <c r="A84" s="81" t="s">
        <v>535</v>
      </c>
      <c r="J84" s="45"/>
    </row>
    <row r="85" spans="1:43" x14ac:dyDescent="0.2">
      <c r="A85" s="81" t="s">
        <v>533</v>
      </c>
      <c r="J85" s="45"/>
    </row>
    <row r="86" spans="1:43" x14ac:dyDescent="0.2">
      <c r="A86" s="81" t="s">
        <v>531</v>
      </c>
      <c r="J86" s="45"/>
    </row>
    <row r="87" spans="1:43" x14ac:dyDescent="0.2">
      <c r="A87" s="81" t="s">
        <v>529</v>
      </c>
      <c r="B87" s="77" t="str">
        <f>ProcDataGenPre2012!$C$27</f>
        <v>Hydro Existing South Africa</v>
      </c>
      <c r="J87" s="45"/>
      <c r="R87" s="45">
        <f>INDEX(ProcDataGenPre2012!$AV$9:$BF$32,MATCH($B87,ProcDataGenPre2012!$C$9:$C$32,0),MATCH(R$65,ProcDataGenPre2012!$AV$5:$BF$5,0))*1000</f>
        <v>665</v>
      </c>
      <c r="S87" s="45">
        <f>INDEX(ProcDataGenPre2012!$AV$9:$BG$32,MATCH($B87,ProcDataGenPre2012!$C$9:$C$32,0),MATCH(S$65,ProcDataGenPre2012!$AV$5:$BG$5,0))*1000</f>
        <v>665</v>
      </c>
      <c r="T87" s="45">
        <f>INDEX(ProcDataGenPre2012!$AV$9:$BG$32,MATCH($B87,ProcDataGenPre2012!$C$9:$C$32,0),MATCH(T$65,ProcDataGenPre2012!$AV$5:$BG$5,0))*1000</f>
        <v>665</v>
      </c>
      <c r="U87" s="45">
        <f>INDEX(ProcDataGenPre2012!$AV$9:$BG$32,MATCH($B87,ProcDataGenPre2012!$C$9:$C$32,0),MATCH(U$65,ProcDataGenPre2012!$AV$5:$BG$5,0))*1000</f>
        <v>665</v>
      </c>
      <c r="V87" s="45">
        <f>INDEX(ProcDataGenPre2012!$AV$9:$BG$32,MATCH($B87,ProcDataGenPre2012!$C$9:$C$32,0),MATCH(V$65,ProcDataGenPre2012!$AV$5:$BG$5,0))*1000</f>
        <v>665</v>
      </c>
      <c r="W87" s="45">
        <f>INDEX(ProcDataGenPre2012!$AV$9:$BG$32,MATCH($B87,ProcDataGenPre2012!$C$9:$C$32,0),MATCH(W$65,ProcDataGenPre2012!$AV$5:$BG$5,0))*1000</f>
        <v>665</v>
      </c>
      <c r="X87" s="45">
        <f>INDEX(ProcDataGenPre2012!$AV$9:$BG$32,MATCH($B87,ProcDataGenPre2012!$C$9:$C$32,0),MATCH(X$65,ProcDataGenPre2012!$AV$5:$BG$5,0))*1000</f>
        <v>665</v>
      </c>
      <c r="Y87" s="45">
        <f>INDEX(ProcDataGenPre2012!$AV$9:$BG$32,MATCH($B87,ProcDataGenPre2012!$C$9:$C$32,0),MATCH(Y$65,ProcDataGenPre2012!$AV$5:$BG$5,0))*1000</f>
        <v>665</v>
      </c>
      <c r="Z87" s="45">
        <f>INDEX(ProcDataGenPre2012!$AV$9:$BG$32,MATCH($B87,ProcDataGenPre2012!$C$9:$C$32,0),MATCH(Z$65,ProcDataGenPre2012!$AV$5:$BG$5,0))*1000</f>
        <v>665</v>
      </c>
      <c r="AA87" s="45">
        <f>INDEX(ProcDataGenPre2012!$AV$9:$BG$32,MATCH($B87,ProcDataGenPre2012!$C$9:$C$32,0),MATCH(AA$65,ProcDataGenPre2012!$AV$5:$BG$5,0))*1000</f>
        <v>665</v>
      </c>
      <c r="AB87" s="45">
        <f>INDEX(ProcDataGenPre2012!$AV$9:$BG$32,MATCH($B87,ProcDataGenPre2012!$C$9:$C$32,0),MATCH(AB$65,ProcDataGenPre2012!$AV$5:$BG$5,0))*1000</f>
        <v>665</v>
      </c>
      <c r="AC87" s="45">
        <f>INDEX(ProcDataGenPre2012!$AV$9:$BG$32,MATCH($B87,ProcDataGenPre2012!$C$9:$C$32,0),MATCH(AC$65,ProcDataGenPre2012!$AV$5:$BG$5,0))*1000</f>
        <v>665</v>
      </c>
    </row>
    <row r="88" spans="1:43" x14ac:dyDescent="0.2">
      <c r="A88" s="81" t="s">
        <v>528</v>
      </c>
      <c r="J88" s="45"/>
    </row>
    <row r="89" spans="1:43" x14ac:dyDescent="0.2">
      <c r="A89" s="81" t="s">
        <v>527</v>
      </c>
      <c r="J89" s="45"/>
    </row>
    <row r="90" spans="1:43" x14ac:dyDescent="0.2">
      <c r="A90" s="81" t="s">
        <v>525</v>
      </c>
      <c r="J90" s="45"/>
    </row>
    <row r="91" spans="1:43" x14ac:dyDescent="0.2">
      <c r="A91" s="81" t="s">
        <v>524</v>
      </c>
      <c r="J91" s="45"/>
    </row>
    <row r="92" spans="1:43" x14ac:dyDescent="0.2">
      <c r="A92" s="81" t="s">
        <v>523</v>
      </c>
      <c r="J92" s="45"/>
    </row>
    <row r="93" spans="1:43" x14ac:dyDescent="0.2">
      <c r="A93" s="81" t="s">
        <v>521</v>
      </c>
      <c r="B93" s="77" t="str">
        <f>ProcDataGenPre2012!$C$30</f>
        <v>Pump Storage All Existing - Single Storage Tech</v>
      </c>
      <c r="J93" s="45"/>
      <c r="R93" s="45">
        <f>INDEX(ProcDataGenPre2012!$AV$9:$BF$32,MATCH($B93,ProcDataGenPre2012!$C$9:$C$32,0),MATCH(R$65,ProcDataGenPre2012!$AV$5:$BF$5,0))*1000</f>
        <v>1580</v>
      </c>
      <c r="S93" s="45">
        <f>INDEX(ProcDataGenPre2012!$AV$9:$BG$32,MATCH($B93,ProcDataGenPre2012!$C$9:$C$32,0),MATCH(S$65,ProcDataGenPre2012!$AV$5:$BG$5,0))*1000</f>
        <v>1580</v>
      </c>
      <c r="T93" s="45">
        <f>INDEX(ProcDataGenPre2012!$AV$9:$BG$32,MATCH($B93,ProcDataGenPre2012!$C$9:$C$32,0),MATCH(T$65,ProcDataGenPre2012!$AV$5:$BG$5,0))*1000</f>
        <v>1580</v>
      </c>
      <c r="U93" s="45">
        <f>INDEX(ProcDataGenPre2012!$AV$9:$BG$32,MATCH($B93,ProcDataGenPre2012!$C$9:$C$32,0),MATCH(U$65,ProcDataGenPre2012!$AV$5:$BG$5,0))*1000</f>
        <v>1580</v>
      </c>
      <c r="V93" s="45">
        <f>INDEX(ProcDataGenPre2012!$AV$9:$BG$32,MATCH($B93,ProcDataGenPre2012!$C$9:$C$32,0),MATCH(V$65,ProcDataGenPre2012!$AV$5:$BG$5,0))*1000</f>
        <v>1580</v>
      </c>
      <c r="W93" s="45">
        <f>INDEX(ProcDataGenPre2012!$AV$9:$BG$32,MATCH($B93,ProcDataGenPre2012!$C$9:$C$32,0),MATCH(W$65,ProcDataGenPre2012!$AV$5:$BG$5,0))*1000</f>
        <v>1580</v>
      </c>
      <c r="X93" s="45">
        <f>INDEX(ProcDataGenPre2012!$AV$9:$BG$32,MATCH($B93,ProcDataGenPre2012!$C$9:$C$32,0),MATCH(X$65,ProcDataGenPre2012!$AV$5:$BG$5,0))*1000</f>
        <v>1580</v>
      </c>
      <c r="Y93" s="45">
        <f>INDEX(ProcDataGenPre2012!$AV$9:$BG$32,MATCH($B93,ProcDataGenPre2012!$C$9:$C$32,0),MATCH(Y$65,ProcDataGenPre2012!$AV$5:$BG$5,0))*1000</f>
        <v>1580</v>
      </c>
      <c r="Z93" s="45">
        <f>INDEX(ProcDataGenPre2012!$AV$9:$BG$32,MATCH($B93,ProcDataGenPre2012!$C$9:$C$32,0),MATCH(Z$65,ProcDataGenPre2012!$AV$5:$BG$5,0))*1000</f>
        <v>1580</v>
      </c>
      <c r="AA93" s="45">
        <f>INDEX(ProcDataGenPre2012!$AV$9:$BG$32,MATCH($B93,ProcDataGenPre2012!$C$9:$C$32,0),MATCH(AA$65,ProcDataGenPre2012!$AV$5:$BG$5,0))*1000</f>
        <v>1580</v>
      </c>
      <c r="AB93" s="45">
        <f>INDEX(ProcDataGenPre2012!$AV$9:$BG$32,MATCH($B93,ProcDataGenPre2012!$C$9:$C$32,0),MATCH(AB$65,ProcDataGenPre2012!$AV$5:$BG$5,0))*1000</f>
        <v>1580</v>
      </c>
      <c r="AC93" s="45">
        <f>INDEX(ProcDataGenPre2012!$AV$9:$BG$32,MATCH($B93,ProcDataGenPre2012!$C$9:$C$32,0),MATCH(AC$65,ProcDataGenPre2012!$AV$5:$BG$5,0))*1000</f>
        <v>1580</v>
      </c>
    </row>
    <row r="94" spans="1:43" x14ac:dyDescent="0.2">
      <c r="A94" s="81" t="s">
        <v>519</v>
      </c>
      <c r="J94" s="45"/>
    </row>
    <row r="95" spans="1:43" x14ac:dyDescent="0.2">
      <c r="A95" s="89" t="s">
        <v>917</v>
      </c>
      <c r="B95" s="77" t="str">
        <f>ProcDataGen2012On!C13</f>
        <v>Pumped Storage New Ingula - Single Storage Tech</v>
      </c>
      <c r="J95" s="45"/>
      <c r="R95" s="45">
        <f>SUM(ProcDataGen2012On!AY13:AZ13)*1000</f>
        <v>1320</v>
      </c>
      <c r="S95" s="45">
        <f>R95</f>
        <v>1320</v>
      </c>
      <c r="T95" s="45">
        <f t="shared" ref="T95:AC95" si="7">S95</f>
        <v>1320</v>
      </c>
      <c r="U95" s="45">
        <f t="shared" si="7"/>
        <v>1320</v>
      </c>
      <c r="V95" s="45">
        <f t="shared" si="7"/>
        <v>1320</v>
      </c>
      <c r="W95" s="45">
        <f t="shared" si="7"/>
        <v>1320</v>
      </c>
      <c r="X95" s="45">
        <f t="shared" si="7"/>
        <v>1320</v>
      </c>
      <c r="Y95" s="45">
        <f t="shared" si="7"/>
        <v>1320</v>
      </c>
      <c r="Z95" s="45">
        <f t="shared" si="7"/>
        <v>1320</v>
      </c>
      <c r="AA95" s="45">
        <f t="shared" si="7"/>
        <v>1320</v>
      </c>
      <c r="AB95" s="45">
        <f t="shared" si="7"/>
        <v>1320</v>
      </c>
      <c r="AC95" s="45">
        <f t="shared" si="7"/>
        <v>1320</v>
      </c>
    </row>
    <row r="96" spans="1:43" x14ac:dyDescent="0.2">
      <c r="A96" s="89" t="s">
        <v>1817</v>
      </c>
      <c r="B96" s="77" t="str">
        <f>ProcDataGen2012On!C14</f>
        <v>DOE Peakers</v>
      </c>
      <c r="J96" s="45"/>
      <c r="R96" s="45">
        <f>SUM(ProcDataGen2012On!AX14:AY14)*1000</f>
        <v>1005.0000000000001</v>
      </c>
      <c r="S96" s="45">
        <f>R96</f>
        <v>1005.0000000000001</v>
      </c>
      <c r="T96" s="45">
        <f t="shared" ref="T96:AC96" si="8">S96</f>
        <v>1005.0000000000001</v>
      </c>
      <c r="U96" s="45">
        <f t="shared" si="8"/>
        <v>1005.0000000000001</v>
      </c>
      <c r="V96" s="45">
        <f t="shared" si="8"/>
        <v>1005.0000000000001</v>
      </c>
      <c r="W96" s="45">
        <f t="shared" si="8"/>
        <v>1005.0000000000001</v>
      </c>
      <c r="X96" s="45">
        <f t="shared" si="8"/>
        <v>1005.0000000000001</v>
      </c>
      <c r="Y96" s="45">
        <f t="shared" si="8"/>
        <v>1005.0000000000001</v>
      </c>
      <c r="Z96" s="45">
        <f t="shared" si="8"/>
        <v>1005.0000000000001</v>
      </c>
      <c r="AA96" s="45">
        <f t="shared" si="8"/>
        <v>1005.0000000000001</v>
      </c>
      <c r="AB96" s="45">
        <f t="shared" si="8"/>
        <v>1005.0000000000001</v>
      </c>
      <c r="AC96" s="45">
        <f t="shared" si="8"/>
        <v>1005.0000000000001</v>
      </c>
      <c r="AQ96" s="515" t="s">
        <v>2556</v>
      </c>
    </row>
    <row r="97" spans="1:67" ht="15" x14ac:dyDescent="0.25">
      <c r="A97" s="89"/>
      <c r="J97" s="45"/>
      <c r="O97" s="45"/>
      <c r="Q97" s="45"/>
      <c r="R97" s="45" t="s">
        <v>1814</v>
      </c>
      <c r="S97" s="45"/>
      <c r="T97" s="45"/>
      <c r="U97" s="45"/>
      <c r="V97" s="45"/>
      <c r="W97" s="45"/>
      <c r="X97" s="45"/>
      <c r="Y97" s="45"/>
      <c r="Z97" s="45"/>
      <c r="AA97" s="45"/>
      <c r="AB97" s="45"/>
      <c r="AC97" s="45"/>
      <c r="AD97" s="88" t="s">
        <v>515</v>
      </c>
      <c r="AQ97" s="77" t="s">
        <v>2558</v>
      </c>
      <c r="AT97" s="44" t="s">
        <v>1825</v>
      </c>
      <c r="BC97" s="45" t="s">
        <v>2559</v>
      </c>
      <c r="BD97" s="45"/>
      <c r="BE97" s="45"/>
      <c r="BF97" s="45"/>
      <c r="BG97" s="45"/>
      <c r="BH97" s="45"/>
      <c r="BI97" s="45"/>
      <c r="BJ97" s="45"/>
      <c r="BK97" s="45"/>
      <c r="BL97" s="45"/>
      <c r="BM97" s="45"/>
      <c r="BN97" s="45"/>
    </row>
    <row r="98" spans="1:67" ht="15" x14ac:dyDescent="0.25">
      <c r="R98" s="44"/>
      <c r="S98" s="44"/>
      <c r="T98" s="44"/>
      <c r="U98" s="44"/>
      <c r="V98" s="44"/>
      <c r="W98" s="44">
        <v>1</v>
      </c>
      <c r="X98" s="44"/>
      <c r="Y98" s="44"/>
      <c r="Z98" s="44"/>
      <c r="AA98" s="44"/>
      <c r="AB98" s="44">
        <v>1</v>
      </c>
      <c r="AC98" s="44"/>
      <c r="AQ98" s="522">
        <f>IF($AT$97=$AP$139,AQ139,AQ140)</f>
        <v>0.98</v>
      </c>
      <c r="AR98" s="522">
        <f t="shared" ref="AR98:BA98" si="9">IF($AT$97=$AP$139,AR139,AR140)</f>
        <v>0.78</v>
      </c>
      <c r="AS98" s="522">
        <f t="shared" si="9"/>
        <v>0.71</v>
      </c>
      <c r="AT98" s="522">
        <f t="shared" si="9"/>
        <v>0.56000000000000005</v>
      </c>
      <c r="AU98" s="522">
        <f t="shared" si="9"/>
        <v>0.45</v>
      </c>
      <c r="AV98" s="522">
        <f t="shared" si="9"/>
        <v>0.39</v>
      </c>
      <c r="AW98" s="522">
        <f t="shared" si="9"/>
        <v>0.33</v>
      </c>
      <c r="AX98" s="522">
        <f t="shared" si="9"/>
        <v>0.35</v>
      </c>
      <c r="AY98" s="522">
        <f t="shared" si="9"/>
        <v>0.33</v>
      </c>
      <c r="AZ98" s="522">
        <f t="shared" si="9"/>
        <v>0.32</v>
      </c>
      <c r="BA98" s="522">
        <f t="shared" si="9"/>
        <v>0.25</v>
      </c>
    </row>
    <row r="99" spans="1:67" x14ac:dyDescent="0.2">
      <c r="A99" s="77" t="s">
        <v>514</v>
      </c>
      <c r="B99" s="77" t="s">
        <v>1813</v>
      </c>
      <c r="J99" s="77">
        <v>2012</v>
      </c>
      <c r="N99" s="77" t="s">
        <v>1823</v>
      </c>
      <c r="O99" s="77">
        <v>2017</v>
      </c>
      <c r="R99" s="87">
        <v>2020</v>
      </c>
      <c r="S99" s="87">
        <v>2021</v>
      </c>
      <c r="T99" s="87">
        <v>2022</v>
      </c>
      <c r="U99" s="87">
        <v>2023</v>
      </c>
      <c r="V99" s="87">
        <v>2024</v>
      </c>
      <c r="W99" s="87">
        <v>2025</v>
      </c>
      <c r="X99" s="87">
        <v>2026</v>
      </c>
      <c r="Y99" s="87">
        <v>2027</v>
      </c>
      <c r="Z99" s="87">
        <v>2028</v>
      </c>
      <c r="AA99" s="87">
        <v>2029</v>
      </c>
      <c r="AB99" s="87">
        <v>2030</v>
      </c>
      <c r="AC99" s="87">
        <v>2031</v>
      </c>
      <c r="AD99" s="87">
        <f>AD142</f>
        <v>2020</v>
      </c>
      <c r="AE99" s="87">
        <f t="shared" ref="AE99:AO99" si="10">AE142</f>
        <v>2021</v>
      </c>
      <c r="AF99" s="87">
        <f t="shared" si="10"/>
        <v>2022</v>
      </c>
      <c r="AG99" s="87">
        <f t="shared" si="10"/>
        <v>2023</v>
      </c>
      <c r="AH99" s="87">
        <f t="shared" si="10"/>
        <v>2024</v>
      </c>
      <c r="AI99" s="87">
        <f t="shared" si="10"/>
        <v>2025</v>
      </c>
      <c r="AJ99" s="87">
        <f t="shared" si="10"/>
        <v>2026</v>
      </c>
      <c r="AK99" s="87">
        <f t="shared" si="10"/>
        <v>2027</v>
      </c>
      <c r="AL99" s="87">
        <f t="shared" si="10"/>
        <v>2028</v>
      </c>
      <c r="AM99" s="87">
        <f t="shared" si="10"/>
        <v>2029</v>
      </c>
      <c r="AN99" s="87">
        <f t="shared" si="10"/>
        <v>2030</v>
      </c>
      <c r="AO99" s="87">
        <f t="shared" si="10"/>
        <v>2031</v>
      </c>
      <c r="AP99" s="87" t="s">
        <v>1822</v>
      </c>
      <c r="AQ99" s="342">
        <v>2020</v>
      </c>
      <c r="AR99" s="342">
        <v>2021</v>
      </c>
      <c r="AS99" s="342">
        <v>2022</v>
      </c>
      <c r="AT99" s="342">
        <v>2023</v>
      </c>
      <c r="AU99" s="342">
        <v>2024</v>
      </c>
      <c r="AV99" s="342">
        <v>2025</v>
      </c>
      <c r="AW99" s="342">
        <v>2026</v>
      </c>
      <c r="AX99" s="342">
        <v>2027</v>
      </c>
      <c r="AY99" s="342">
        <v>2028</v>
      </c>
      <c r="AZ99" s="342">
        <v>2029</v>
      </c>
      <c r="BA99" s="342">
        <v>2030</v>
      </c>
      <c r="BB99" s="77">
        <v>2031</v>
      </c>
      <c r="BC99" s="87">
        <v>2020</v>
      </c>
      <c r="BD99" s="87">
        <v>2021</v>
      </c>
      <c r="BE99" s="87">
        <v>2022</v>
      </c>
      <c r="BF99" s="87">
        <v>2023</v>
      </c>
      <c r="BG99" s="87">
        <v>2024</v>
      </c>
      <c r="BH99" s="87">
        <v>2025</v>
      </c>
      <c r="BI99" s="87">
        <v>2026</v>
      </c>
      <c r="BJ99" s="87">
        <v>2027</v>
      </c>
      <c r="BK99" s="87">
        <v>2028</v>
      </c>
      <c r="BL99" s="87">
        <v>2029</v>
      </c>
      <c r="BM99" s="87">
        <v>2030</v>
      </c>
      <c r="BN99" s="87">
        <v>2031</v>
      </c>
      <c r="BO99" s="77" t="s">
        <v>1824</v>
      </c>
    </row>
    <row r="100" spans="1:67" x14ac:dyDescent="0.2">
      <c r="A100" s="81" t="s">
        <v>416</v>
      </c>
      <c r="C100" s="87">
        <f t="shared" ref="C100:C114" si="11">MATCH(A100,$AC$143:$AC$174,0)</f>
        <v>13</v>
      </c>
      <c r="J100" s="78">
        <f t="shared" ref="J100:J108" si="12">J5/(J66*8760)</f>
        <v>0.61122143050031918</v>
      </c>
      <c r="N100" s="77" t="s">
        <v>1819</v>
      </c>
      <c r="O100" s="78">
        <f t="shared" ref="O100:O111" si="13">W5/(O66*8.76)*1000</f>
        <v>0.52901509650216993</v>
      </c>
      <c r="R100" s="78">
        <f t="shared" ref="R100:V114" si="14">AD100</f>
        <v>0.65060000000000007</v>
      </c>
      <c r="S100" s="78">
        <f t="shared" si="14"/>
        <v>0.62439999999999996</v>
      </c>
      <c r="T100" s="78">
        <f t="shared" si="14"/>
        <v>0.65359999999999996</v>
      </c>
      <c r="U100" s="78">
        <f t="shared" si="14"/>
        <v>0.62270000000000003</v>
      </c>
      <c r="V100" s="78">
        <f t="shared" si="14"/>
        <v>0.62819999999999998</v>
      </c>
      <c r="W100" s="78">
        <f t="shared" ref="W100:W108" si="15">AI100</f>
        <v>0.65480000000000005</v>
      </c>
      <c r="X100" s="78">
        <f t="shared" ref="X100:AC114" si="16">AJ100</f>
        <v>0.69370000000000009</v>
      </c>
      <c r="Y100" s="78">
        <f t="shared" si="16"/>
        <v>0.67420000000000002</v>
      </c>
      <c r="Z100" s="78">
        <f t="shared" si="16"/>
        <v>0.60799999999999998</v>
      </c>
      <c r="AA100" s="78">
        <f t="shared" si="16"/>
        <v>0.5454</v>
      </c>
      <c r="AB100" s="78">
        <f t="shared" si="16"/>
        <v>0.54579999999999995</v>
      </c>
      <c r="AC100" s="78">
        <f t="shared" si="16"/>
        <v>0</v>
      </c>
      <c r="AD100" s="78" cm="1">
        <f t="array" ref="AD100">INDEX(AD$143:AD$173,$C100)</f>
        <v>0.65060000000000007</v>
      </c>
      <c r="AE100" s="78" cm="1">
        <f t="array" ref="AE100">INDEX(AE$143:AE$173,$C100)</f>
        <v>0.62439999999999996</v>
      </c>
      <c r="AF100" s="78" cm="1">
        <f t="array" ref="AF100">INDEX(AF$143:AF$173,$C100)</f>
        <v>0.65359999999999996</v>
      </c>
      <c r="AG100" s="78" cm="1">
        <f t="array" ref="AG100">INDEX(AG$143:AG$173,$C100)</f>
        <v>0.62270000000000003</v>
      </c>
      <c r="AH100" s="78" cm="1">
        <f t="array" ref="AH100">INDEX(AH$143:AH$173,$C100)</f>
        <v>0.62819999999999998</v>
      </c>
      <c r="AI100" s="78" cm="1">
        <f t="array" ref="AI100">INDEX(AI$143:AI$173,$C100)</f>
        <v>0.65480000000000005</v>
      </c>
      <c r="AJ100" s="78" cm="1">
        <f t="array" ref="AJ100">INDEX(AJ$143:AJ$173,$C100)</f>
        <v>0.69370000000000009</v>
      </c>
      <c r="AK100" s="78" cm="1">
        <f t="array" ref="AK100">INDEX(AK$143:AK$173,$C100)</f>
        <v>0.67420000000000002</v>
      </c>
      <c r="AL100" s="78" cm="1">
        <f t="array" ref="AL100">INDEX(AL$143:AL$173,$C100)</f>
        <v>0.60799999999999998</v>
      </c>
      <c r="AM100" s="78" cm="1">
        <f t="array" ref="AM100">INDEX(AM$143:AM$173,$C100)</f>
        <v>0.5454</v>
      </c>
      <c r="AN100" s="78" cm="1">
        <f t="array" ref="AN100">INDEX(AN$143:AN$173,$C100)</f>
        <v>0.54579999999999995</v>
      </c>
      <c r="AO100" s="78" cm="1">
        <f t="array" ref="AO100">INDEX(AO$143:AO$173,$C100)</f>
        <v>0</v>
      </c>
      <c r="AP100" s="513" t="s">
        <v>1819</v>
      </c>
      <c r="AQ100" s="523">
        <f t="shared" ref="AQ100:BA114" si="17">IF($AP100="low",AQ$98,IF($AP100="mid",(1+AQ$98)/2,1))</f>
        <v>0.98</v>
      </c>
      <c r="AR100" s="523">
        <f t="shared" si="17"/>
        <v>0.78</v>
      </c>
      <c r="AS100" s="523">
        <f t="shared" si="17"/>
        <v>0.71</v>
      </c>
      <c r="AT100" s="523">
        <f t="shared" si="17"/>
        <v>0.56000000000000005</v>
      </c>
      <c r="AU100" s="523">
        <f t="shared" si="17"/>
        <v>0.45</v>
      </c>
      <c r="AV100" s="523">
        <f t="shared" si="17"/>
        <v>0.39</v>
      </c>
      <c r="AW100" s="523">
        <f t="shared" si="17"/>
        <v>0.33</v>
      </c>
      <c r="AX100" s="523">
        <f t="shared" si="17"/>
        <v>0.35</v>
      </c>
      <c r="AY100" s="523">
        <f t="shared" si="17"/>
        <v>0.33</v>
      </c>
      <c r="AZ100" s="523">
        <f t="shared" si="17"/>
        <v>0.32</v>
      </c>
      <c r="BA100" s="523">
        <f t="shared" si="17"/>
        <v>0.25</v>
      </c>
      <c r="BB100" s="512">
        <f>BA100</f>
        <v>0.25</v>
      </c>
      <c r="BC100" s="78">
        <f>AQ100*AD100</f>
        <v>0.63758800000000004</v>
      </c>
      <c r="BD100" s="78">
        <f t="shared" ref="BD100:BD114" si="18">AR100*AE100</f>
        <v>0.48703199999999996</v>
      </c>
      <c r="BE100" s="78">
        <f t="shared" ref="BE100:BE114" si="19">AS100*AF100</f>
        <v>0.46405599999999997</v>
      </c>
      <c r="BF100" s="78">
        <f t="shared" ref="BF100:BF114" si="20">AT100*AG100</f>
        <v>0.34871200000000008</v>
      </c>
      <c r="BG100" s="78">
        <f t="shared" ref="BG100:BG114" si="21">AU100*AH100</f>
        <v>0.28269</v>
      </c>
      <c r="BH100" s="78">
        <f t="shared" ref="BH100:BH114" si="22">AV100*AI100</f>
        <v>0.25537200000000004</v>
      </c>
      <c r="BI100" s="78">
        <f t="shared" ref="BI100:BI114" si="23">AW100*AJ100</f>
        <v>0.22892100000000004</v>
      </c>
      <c r="BJ100" s="78">
        <f t="shared" ref="BJ100:BJ114" si="24">AX100*AK100</f>
        <v>0.23596999999999999</v>
      </c>
      <c r="BK100" s="78">
        <f t="shared" ref="BK100:BK114" si="25">AY100*AL100</f>
        <v>0.20064000000000001</v>
      </c>
      <c r="BL100" s="78">
        <f t="shared" ref="BL100:BL114" si="26">AZ100*AM100</f>
        <v>0.17452799999999999</v>
      </c>
      <c r="BM100" s="78">
        <f t="shared" ref="BM100:BM114" si="27">BA100*AN100</f>
        <v>0.13644999999999999</v>
      </c>
      <c r="BN100" s="78">
        <f t="shared" ref="BN100:BN114" si="28">BB100*AO100</f>
        <v>0</v>
      </c>
    </row>
    <row r="101" spans="1:67" x14ac:dyDescent="0.2">
      <c r="A101" s="81" t="s">
        <v>466</v>
      </c>
      <c r="C101" s="87">
        <f t="shared" si="11"/>
        <v>14</v>
      </c>
      <c r="J101" s="78">
        <f t="shared" si="12"/>
        <v>0.57620157501158098</v>
      </c>
      <c r="N101" s="77" t="s">
        <v>1819</v>
      </c>
      <c r="O101" s="78">
        <f t="shared" si="13"/>
        <v>0.5492283190063032</v>
      </c>
      <c r="R101" s="78">
        <f t="shared" si="14"/>
        <v>0.54479999999999995</v>
      </c>
      <c r="S101" s="78">
        <f t="shared" si="14"/>
        <v>0.49670000000000003</v>
      </c>
      <c r="T101" s="78">
        <f t="shared" si="14"/>
        <v>0.60159999999999991</v>
      </c>
      <c r="U101" s="78">
        <f t="shared" si="14"/>
        <v>0.56920000000000004</v>
      </c>
      <c r="V101" s="78">
        <f t="shared" si="14"/>
        <v>0.62819999999999998</v>
      </c>
      <c r="W101" s="78">
        <f t="shared" si="15"/>
        <v>0.61119999999999997</v>
      </c>
      <c r="X101" s="78">
        <f t="shared" si="16"/>
        <v>0.67220000000000002</v>
      </c>
      <c r="Y101" s="78">
        <f t="shared" si="16"/>
        <v>0.63649999999999995</v>
      </c>
      <c r="Z101" s="78">
        <f t="shared" si="16"/>
        <v>0.59439999999999993</v>
      </c>
      <c r="AA101" s="78">
        <f t="shared" si="16"/>
        <v>0.60909999999999997</v>
      </c>
      <c r="AB101" s="78">
        <f t="shared" si="16"/>
        <v>0.60209999999999997</v>
      </c>
      <c r="AC101" s="78">
        <f t="shared" si="16"/>
        <v>0.59799999999999998</v>
      </c>
      <c r="AD101" s="78" cm="1">
        <f t="array" ref="AD101">INDEX(AD$143:AD$173,$C101)</f>
        <v>0.54479999999999995</v>
      </c>
      <c r="AE101" s="78" cm="1">
        <f t="array" ref="AE101">INDEX(AE$143:AE$173,$C101)</f>
        <v>0.49670000000000003</v>
      </c>
      <c r="AF101" s="78" cm="1">
        <f t="array" ref="AF101">INDEX(AF$143:AF$173,$C101)</f>
        <v>0.60159999999999991</v>
      </c>
      <c r="AG101" s="78" cm="1">
        <f t="array" ref="AG101">INDEX(AG$143:AG$173,$C101)</f>
        <v>0.56920000000000004</v>
      </c>
      <c r="AH101" s="78" cm="1">
        <f t="array" ref="AH101">INDEX(AH$143:AH$173,$C101)</f>
        <v>0.62819999999999998</v>
      </c>
      <c r="AI101" s="78" cm="1">
        <f t="array" ref="AI101">INDEX(AI$143:AI$173,$C101)</f>
        <v>0.61119999999999997</v>
      </c>
      <c r="AJ101" s="78" cm="1">
        <f t="array" ref="AJ101">INDEX(AJ$143:AJ$173,$C101)</f>
        <v>0.67220000000000002</v>
      </c>
      <c r="AK101" s="78" cm="1">
        <f t="array" ref="AK101">INDEX(AK$143:AK$173,$C101)</f>
        <v>0.63649999999999995</v>
      </c>
      <c r="AL101" s="78" cm="1">
        <f t="array" ref="AL101">INDEX(AL$143:AL$173,$C101)</f>
        <v>0.59439999999999993</v>
      </c>
      <c r="AM101" s="78" cm="1">
        <f t="array" ref="AM101">INDEX(AM$143:AM$173,$C101)</f>
        <v>0.60909999999999997</v>
      </c>
      <c r="AN101" s="78" cm="1">
        <f t="array" ref="AN101">INDEX(AN$143:AN$173,$C101)</f>
        <v>0.60209999999999997</v>
      </c>
      <c r="AO101" s="78" cm="1">
        <f t="array" ref="AO101">INDEX(AO$143:AO$173,$C101)</f>
        <v>0.59799999999999998</v>
      </c>
      <c r="AP101" s="513" t="str">
        <f t="shared" ref="AP101:AP110" si="29">N101</f>
        <v>low</v>
      </c>
      <c r="AQ101" s="523">
        <f t="shared" si="17"/>
        <v>0.98</v>
      </c>
      <c r="AR101" s="523">
        <f t="shared" si="17"/>
        <v>0.78</v>
      </c>
      <c r="AS101" s="523">
        <f t="shared" si="17"/>
        <v>0.71</v>
      </c>
      <c r="AT101" s="523">
        <f t="shared" si="17"/>
        <v>0.56000000000000005</v>
      </c>
      <c r="AU101" s="523">
        <f t="shared" si="17"/>
        <v>0.45</v>
      </c>
      <c r="AV101" s="523">
        <f t="shared" si="17"/>
        <v>0.39</v>
      </c>
      <c r="AW101" s="523">
        <f t="shared" si="17"/>
        <v>0.33</v>
      </c>
      <c r="AX101" s="523">
        <f t="shared" si="17"/>
        <v>0.35</v>
      </c>
      <c r="AY101" s="523">
        <f t="shared" si="17"/>
        <v>0.33</v>
      </c>
      <c r="AZ101" s="523">
        <f t="shared" si="17"/>
        <v>0.32</v>
      </c>
      <c r="BA101" s="523">
        <f t="shared" si="17"/>
        <v>0.25</v>
      </c>
      <c r="BB101" s="512">
        <f t="shared" ref="BB101:BB114" si="30">BA101</f>
        <v>0.25</v>
      </c>
      <c r="BC101" s="78">
        <f t="shared" ref="BC101:BC114" si="31">AQ101*AD101</f>
        <v>0.53390399999999993</v>
      </c>
      <c r="BD101" s="78">
        <f t="shared" si="18"/>
        <v>0.38742600000000005</v>
      </c>
      <c r="BE101" s="78">
        <f t="shared" si="19"/>
        <v>0.4271359999999999</v>
      </c>
      <c r="BF101" s="78">
        <f t="shared" si="20"/>
        <v>0.31875200000000004</v>
      </c>
      <c r="BG101" s="78">
        <f t="shared" si="21"/>
        <v>0.28269</v>
      </c>
      <c r="BH101" s="78">
        <f t="shared" si="22"/>
        <v>0.238368</v>
      </c>
      <c r="BI101" s="78">
        <f t="shared" si="23"/>
        <v>0.22182600000000002</v>
      </c>
      <c r="BJ101" s="78">
        <f t="shared" si="24"/>
        <v>0.22277499999999997</v>
      </c>
      <c r="BK101" s="78">
        <f t="shared" si="25"/>
        <v>0.19615199999999999</v>
      </c>
      <c r="BL101" s="78">
        <f t="shared" si="26"/>
        <v>0.194912</v>
      </c>
      <c r="BM101" s="78">
        <f t="shared" si="27"/>
        <v>0.15052499999999999</v>
      </c>
      <c r="BN101" s="78">
        <f t="shared" si="28"/>
        <v>0.14949999999999999</v>
      </c>
    </row>
    <row r="102" spans="1:67" x14ac:dyDescent="0.2">
      <c r="A102" s="81" t="s">
        <v>409</v>
      </c>
      <c r="C102" s="87">
        <f t="shared" si="11"/>
        <v>15</v>
      </c>
      <c r="J102" s="78">
        <f t="shared" si="12"/>
        <v>0.58083642440045535</v>
      </c>
      <c r="N102" s="77" t="s">
        <v>1819</v>
      </c>
      <c r="O102" s="78">
        <f t="shared" si="13"/>
        <v>0.55583709036115203</v>
      </c>
      <c r="R102" s="78">
        <f t="shared" si="14"/>
        <v>0.60929999999999995</v>
      </c>
      <c r="S102" s="78">
        <f t="shared" si="14"/>
        <v>0.55959999999999999</v>
      </c>
      <c r="T102" s="78">
        <f t="shared" si="14"/>
        <v>0.69349999999999989</v>
      </c>
      <c r="U102" s="78">
        <f t="shared" si="14"/>
        <v>0.69349999999999989</v>
      </c>
      <c r="V102" s="78">
        <f t="shared" si="14"/>
        <v>0.69349999999999989</v>
      </c>
      <c r="W102" s="78">
        <f t="shared" si="15"/>
        <v>0.69349999999999989</v>
      </c>
      <c r="X102" s="78">
        <f t="shared" si="16"/>
        <v>0</v>
      </c>
      <c r="Y102" s="78">
        <f t="shared" si="16"/>
        <v>0</v>
      </c>
      <c r="Z102" s="78">
        <f t="shared" si="16"/>
        <v>0</v>
      </c>
      <c r="AA102" s="78">
        <f t="shared" si="16"/>
        <v>0</v>
      </c>
      <c r="AB102" s="78">
        <f t="shared" si="16"/>
        <v>0</v>
      </c>
      <c r="AC102" s="78">
        <f t="shared" si="16"/>
        <v>0</v>
      </c>
      <c r="AD102" s="78" cm="1">
        <f t="array" ref="AD102">INDEX(AD$143:AD$173,$C102)</f>
        <v>0.60929999999999995</v>
      </c>
      <c r="AE102" s="78" cm="1">
        <f t="array" ref="AE102">INDEX(AE$143:AE$173,$C102)</f>
        <v>0.55959999999999999</v>
      </c>
      <c r="AF102" s="78" cm="1">
        <f t="array" ref="AF102">INDEX(AF$143:AF$173,$C102)</f>
        <v>0.69349999999999989</v>
      </c>
      <c r="AG102" s="78" cm="1">
        <f t="array" ref="AG102">INDEX(AG$143:AG$173,$C102)</f>
        <v>0.69349999999999989</v>
      </c>
      <c r="AH102" s="78" cm="1">
        <f t="array" ref="AH102">INDEX(AH$143:AH$173,$C102)</f>
        <v>0.69349999999999989</v>
      </c>
      <c r="AI102" s="78" cm="1">
        <f t="array" ref="AI102">INDEX(AI$143:AI$173,$C102)</f>
        <v>0.69349999999999989</v>
      </c>
      <c r="AJ102" s="78" cm="1">
        <f t="array" ref="AJ102">INDEX(AJ$143:AJ$173,$C102)</f>
        <v>0</v>
      </c>
      <c r="AK102" s="78" cm="1">
        <f t="array" ref="AK102">INDEX(AK$143:AK$173,$C102)</f>
        <v>0</v>
      </c>
      <c r="AL102" s="78" cm="1">
        <f t="array" ref="AL102">INDEX(AL$143:AL$173,$C102)</f>
        <v>0</v>
      </c>
      <c r="AM102" s="78" cm="1">
        <f t="array" ref="AM102">INDEX(AM$143:AM$173,$C102)</f>
        <v>0</v>
      </c>
      <c r="AN102" s="78" cm="1">
        <f t="array" ref="AN102">INDEX(AN$143:AN$173,$C102)</f>
        <v>0</v>
      </c>
      <c r="AO102" s="78" cm="1">
        <f t="array" ref="AO102">INDEX(AO$143:AO$173,$C102)</f>
        <v>0</v>
      </c>
      <c r="AP102" s="513" t="s">
        <v>1819</v>
      </c>
      <c r="AQ102" s="523">
        <f t="shared" si="17"/>
        <v>0.98</v>
      </c>
      <c r="AR102" s="523">
        <f t="shared" si="17"/>
        <v>0.78</v>
      </c>
      <c r="AS102" s="523">
        <f t="shared" si="17"/>
        <v>0.71</v>
      </c>
      <c r="AT102" s="523">
        <f t="shared" si="17"/>
        <v>0.56000000000000005</v>
      </c>
      <c r="AU102" s="523">
        <f t="shared" si="17"/>
        <v>0.45</v>
      </c>
      <c r="AV102" s="523">
        <f t="shared" si="17"/>
        <v>0.39</v>
      </c>
      <c r="AW102" s="523">
        <f t="shared" si="17"/>
        <v>0.33</v>
      </c>
      <c r="AX102" s="523">
        <f t="shared" si="17"/>
        <v>0.35</v>
      </c>
      <c r="AY102" s="523">
        <f t="shared" si="17"/>
        <v>0.33</v>
      </c>
      <c r="AZ102" s="523">
        <f t="shared" si="17"/>
        <v>0.32</v>
      </c>
      <c r="BA102" s="523">
        <f t="shared" si="17"/>
        <v>0.25</v>
      </c>
      <c r="BB102" s="512">
        <f t="shared" si="30"/>
        <v>0.25</v>
      </c>
      <c r="BC102" s="78">
        <f t="shared" si="31"/>
        <v>0.59711399999999992</v>
      </c>
      <c r="BD102" s="78">
        <f t="shared" si="18"/>
        <v>0.43648799999999999</v>
      </c>
      <c r="BE102" s="78">
        <f t="shared" si="19"/>
        <v>0.49238499999999991</v>
      </c>
      <c r="BF102" s="78">
        <f t="shared" si="20"/>
        <v>0.38835999999999998</v>
      </c>
      <c r="BG102" s="78">
        <f t="shared" si="21"/>
        <v>0.31207499999999994</v>
      </c>
      <c r="BH102" s="78">
        <f t="shared" si="22"/>
        <v>0.27046499999999996</v>
      </c>
      <c r="BI102" s="78">
        <f t="shared" si="23"/>
        <v>0</v>
      </c>
      <c r="BJ102" s="78">
        <f t="shared" si="24"/>
        <v>0</v>
      </c>
      <c r="BK102" s="78">
        <f t="shared" si="25"/>
        <v>0</v>
      </c>
      <c r="BL102" s="78">
        <f t="shared" si="26"/>
        <v>0</v>
      </c>
      <c r="BM102" s="78">
        <f t="shared" si="27"/>
        <v>0</v>
      </c>
      <c r="BN102" s="78">
        <f t="shared" si="28"/>
        <v>0</v>
      </c>
    </row>
    <row r="103" spans="1:67" x14ac:dyDescent="0.2">
      <c r="A103" s="81" t="s">
        <v>455</v>
      </c>
      <c r="C103" s="87">
        <f t="shared" si="11"/>
        <v>16</v>
      </c>
      <c r="J103" s="78">
        <f t="shared" si="12"/>
        <v>0.7788275601693303</v>
      </c>
      <c r="N103" s="77" t="s">
        <v>1820</v>
      </c>
      <c r="O103" s="78">
        <f t="shared" si="13"/>
        <v>0.7392028286823541</v>
      </c>
      <c r="R103" s="78">
        <f t="shared" si="14"/>
        <v>0.69099999999999995</v>
      </c>
      <c r="S103" s="78">
        <f t="shared" si="14"/>
        <v>0.71340000000000003</v>
      </c>
      <c r="T103" s="78">
        <f t="shared" si="14"/>
        <v>0.65469999999999995</v>
      </c>
      <c r="U103" s="78">
        <f t="shared" si="14"/>
        <v>0.73170000000000002</v>
      </c>
      <c r="V103" s="78">
        <f t="shared" si="14"/>
        <v>0.69030000000000002</v>
      </c>
      <c r="W103" s="78">
        <f t="shared" si="15"/>
        <v>0.74140000000000006</v>
      </c>
      <c r="X103" s="78">
        <f t="shared" si="16"/>
        <v>0.75360000000000005</v>
      </c>
      <c r="Y103" s="78">
        <f t="shared" si="16"/>
        <v>0.69409999999999994</v>
      </c>
      <c r="Z103" s="78">
        <f t="shared" si="16"/>
        <v>0.79330000000000001</v>
      </c>
      <c r="AA103" s="78">
        <f t="shared" si="16"/>
        <v>0.73640000000000005</v>
      </c>
      <c r="AB103" s="78">
        <f t="shared" si="16"/>
        <v>0.72939999999999994</v>
      </c>
      <c r="AC103" s="78">
        <f t="shared" si="16"/>
        <v>0.72530000000000006</v>
      </c>
      <c r="AD103" s="78" cm="1">
        <f t="array" ref="AD103">INDEX(AD$143:AD$173,$C103)</f>
        <v>0.69099999999999995</v>
      </c>
      <c r="AE103" s="78" cm="1">
        <f t="array" ref="AE103">INDEX(AE$143:AE$173,$C103)</f>
        <v>0.71340000000000003</v>
      </c>
      <c r="AF103" s="78" cm="1">
        <f t="array" ref="AF103">INDEX(AF$143:AF$173,$C103)</f>
        <v>0.65469999999999995</v>
      </c>
      <c r="AG103" s="78" cm="1">
        <f t="array" ref="AG103">INDEX(AG$143:AG$173,$C103)</f>
        <v>0.73170000000000002</v>
      </c>
      <c r="AH103" s="78" cm="1">
        <f t="array" ref="AH103">INDEX(AH$143:AH$173,$C103)</f>
        <v>0.69030000000000002</v>
      </c>
      <c r="AI103" s="78" cm="1">
        <f t="array" ref="AI103">INDEX(AI$143:AI$173,$C103)</f>
        <v>0.74140000000000006</v>
      </c>
      <c r="AJ103" s="78" cm="1">
        <f t="array" ref="AJ103">INDEX(AJ$143:AJ$173,$C103)</f>
        <v>0.75360000000000005</v>
      </c>
      <c r="AK103" s="78" cm="1">
        <f t="array" ref="AK103">INDEX(AK$143:AK$173,$C103)</f>
        <v>0.69409999999999994</v>
      </c>
      <c r="AL103" s="78" cm="1">
        <f t="array" ref="AL103">INDEX(AL$143:AL$173,$C103)</f>
        <v>0.79330000000000001</v>
      </c>
      <c r="AM103" s="78" cm="1">
        <f t="array" ref="AM103">INDEX(AM$143:AM$173,$C103)</f>
        <v>0.73640000000000005</v>
      </c>
      <c r="AN103" s="78" cm="1">
        <f t="array" ref="AN103">INDEX(AN$143:AN$173,$C103)</f>
        <v>0.72939999999999994</v>
      </c>
      <c r="AO103" s="78" cm="1">
        <f t="array" ref="AO103">INDEX(AO$143:AO$173,$C103)</f>
        <v>0.72530000000000006</v>
      </c>
      <c r="AP103" s="513" t="s">
        <v>1820</v>
      </c>
      <c r="AQ103" s="523">
        <f t="shared" si="17"/>
        <v>0.99</v>
      </c>
      <c r="AR103" s="523">
        <f t="shared" si="17"/>
        <v>0.89</v>
      </c>
      <c r="AS103" s="523">
        <f t="shared" si="17"/>
        <v>0.85499999999999998</v>
      </c>
      <c r="AT103" s="523">
        <f t="shared" si="17"/>
        <v>0.78</v>
      </c>
      <c r="AU103" s="523">
        <f t="shared" si="17"/>
        <v>0.72499999999999998</v>
      </c>
      <c r="AV103" s="523">
        <f t="shared" si="17"/>
        <v>0.69500000000000006</v>
      </c>
      <c r="AW103" s="523">
        <f t="shared" si="17"/>
        <v>0.66500000000000004</v>
      </c>
      <c r="AX103" s="523">
        <f t="shared" si="17"/>
        <v>0.67500000000000004</v>
      </c>
      <c r="AY103" s="523">
        <f t="shared" si="17"/>
        <v>0.66500000000000004</v>
      </c>
      <c r="AZ103" s="523">
        <f t="shared" si="17"/>
        <v>0.66</v>
      </c>
      <c r="BA103" s="523">
        <f t="shared" si="17"/>
        <v>0.625</v>
      </c>
      <c r="BB103" s="512">
        <f t="shared" si="30"/>
        <v>0.625</v>
      </c>
      <c r="BC103" s="78">
        <f t="shared" si="31"/>
        <v>0.68408999999999998</v>
      </c>
      <c r="BD103" s="78">
        <f t="shared" si="18"/>
        <v>0.63492599999999999</v>
      </c>
      <c r="BE103" s="78">
        <f t="shared" si="19"/>
        <v>0.55976849999999989</v>
      </c>
      <c r="BF103" s="78">
        <f t="shared" si="20"/>
        <v>0.57072600000000007</v>
      </c>
      <c r="BG103" s="78">
        <f t="shared" si="21"/>
        <v>0.50046749999999995</v>
      </c>
      <c r="BH103" s="78">
        <f t="shared" si="22"/>
        <v>0.51527300000000009</v>
      </c>
      <c r="BI103" s="78">
        <f t="shared" si="23"/>
        <v>0.50114400000000003</v>
      </c>
      <c r="BJ103" s="78">
        <f t="shared" si="24"/>
        <v>0.46851749999999998</v>
      </c>
      <c r="BK103" s="78">
        <f t="shared" si="25"/>
        <v>0.52754450000000008</v>
      </c>
      <c r="BL103" s="78">
        <f t="shared" si="26"/>
        <v>0.48602400000000007</v>
      </c>
      <c r="BM103" s="78">
        <f t="shared" si="27"/>
        <v>0.45587499999999997</v>
      </c>
      <c r="BN103" s="78">
        <f t="shared" si="28"/>
        <v>0.45331250000000001</v>
      </c>
    </row>
    <row r="104" spans="1:67" x14ac:dyDescent="0.2">
      <c r="A104" s="81" t="s">
        <v>410</v>
      </c>
      <c r="C104" s="87">
        <f t="shared" si="11"/>
        <v>17</v>
      </c>
      <c r="J104" s="78">
        <f t="shared" si="12"/>
        <v>0.66373023311703916</v>
      </c>
      <c r="N104" s="77" t="s">
        <v>1819</v>
      </c>
      <c r="O104" s="78">
        <f t="shared" si="13"/>
        <v>0.51428303219089555</v>
      </c>
      <c r="R104" s="78">
        <f t="shared" si="14"/>
        <v>0.54100000000000004</v>
      </c>
      <c r="S104" s="78">
        <f t="shared" si="14"/>
        <v>0.63419999999999999</v>
      </c>
      <c r="T104" s="78">
        <f t="shared" si="14"/>
        <v>0.54630000000000001</v>
      </c>
      <c r="U104" s="78">
        <f t="shared" si="14"/>
        <v>0.51390000000000002</v>
      </c>
      <c r="V104" s="78">
        <f t="shared" si="14"/>
        <v>0.65200000000000002</v>
      </c>
      <c r="W104" s="78">
        <f t="shared" si="15"/>
        <v>0.64439999999999997</v>
      </c>
      <c r="X104" s="78">
        <f t="shared" si="16"/>
        <v>0.65390000000000004</v>
      </c>
      <c r="Y104" s="78">
        <f t="shared" si="16"/>
        <v>0.68889999999999996</v>
      </c>
      <c r="Z104" s="78">
        <f t="shared" si="16"/>
        <v>0.51119999999999999</v>
      </c>
      <c r="AA104" s="78">
        <f t="shared" si="16"/>
        <v>0.60539999999999994</v>
      </c>
      <c r="AB104" s="78">
        <f t="shared" si="16"/>
        <v>0.64150000000000007</v>
      </c>
      <c r="AC104" s="78">
        <f t="shared" si="16"/>
        <v>0</v>
      </c>
      <c r="AD104" s="78" cm="1">
        <f t="array" ref="AD104">INDEX(AD$143:AD$173,$C104)</f>
        <v>0.54100000000000004</v>
      </c>
      <c r="AE104" s="78" cm="1">
        <f t="array" ref="AE104">INDEX(AE$143:AE$173,$C104)</f>
        <v>0.63419999999999999</v>
      </c>
      <c r="AF104" s="78" cm="1">
        <f t="array" ref="AF104">INDEX(AF$143:AF$173,$C104)</f>
        <v>0.54630000000000001</v>
      </c>
      <c r="AG104" s="78" cm="1">
        <f t="array" ref="AG104">INDEX(AG$143:AG$173,$C104)</f>
        <v>0.51390000000000002</v>
      </c>
      <c r="AH104" s="78" cm="1">
        <f t="array" ref="AH104">INDEX(AH$143:AH$173,$C104)</f>
        <v>0.65200000000000002</v>
      </c>
      <c r="AI104" s="78" cm="1">
        <f t="array" ref="AI104">INDEX(AI$143:AI$173,$C104)</f>
        <v>0.64439999999999997</v>
      </c>
      <c r="AJ104" s="78" cm="1">
        <f t="array" ref="AJ104">INDEX(AJ$143:AJ$173,$C104)</f>
        <v>0.65390000000000004</v>
      </c>
      <c r="AK104" s="78" cm="1">
        <f t="array" ref="AK104">INDEX(AK$143:AK$173,$C104)</f>
        <v>0.68889999999999996</v>
      </c>
      <c r="AL104" s="78" cm="1">
        <f t="array" ref="AL104">INDEX(AL$143:AL$173,$C104)</f>
        <v>0.51119999999999999</v>
      </c>
      <c r="AM104" s="78" cm="1">
        <f t="array" ref="AM104">INDEX(AM$143:AM$173,$C104)</f>
        <v>0.60539999999999994</v>
      </c>
      <c r="AN104" s="78" cm="1">
        <f t="array" ref="AN104">INDEX(AN$143:AN$173,$C104)</f>
        <v>0.64150000000000007</v>
      </c>
      <c r="AO104" s="78" cm="1">
        <f t="array" ref="AO104">INDEX(AO$143:AO$173,$C104)</f>
        <v>0</v>
      </c>
      <c r="AP104" s="513" t="str">
        <f t="shared" si="29"/>
        <v>low</v>
      </c>
      <c r="AQ104" s="523">
        <f t="shared" si="17"/>
        <v>0.98</v>
      </c>
      <c r="AR104" s="523">
        <f t="shared" si="17"/>
        <v>0.78</v>
      </c>
      <c r="AS104" s="523">
        <f t="shared" si="17"/>
        <v>0.71</v>
      </c>
      <c r="AT104" s="523">
        <f t="shared" si="17"/>
        <v>0.56000000000000005</v>
      </c>
      <c r="AU104" s="523">
        <f t="shared" si="17"/>
        <v>0.45</v>
      </c>
      <c r="AV104" s="523">
        <f t="shared" si="17"/>
        <v>0.39</v>
      </c>
      <c r="AW104" s="523">
        <f t="shared" si="17"/>
        <v>0.33</v>
      </c>
      <c r="AX104" s="523">
        <f t="shared" si="17"/>
        <v>0.35</v>
      </c>
      <c r="AY104" s="523">
        <f t="shared" si="17"/>
        <v>0.33</v>
      </c>
      <c r="AZ104" s="523">
        <f t="shared" si="17"/>
        <v>0.32</v>
      </c>
      <c r="BA104" s="523">
        <f t="shared" si="17"/>
        <v>0.25</v>
      </c>
      <c r="BB104" s="512">
        <f t="shared" si="30"/>
        <v>0.25</v>
      </c>
      <c r="BC104" s="78">
        <f t="shared" si="31"/>
        <v>0.53017999999999998</v>
      </c>
      <c r="BD104" s="78">
        <f t="shared" si="18"/>
        <v>0.494676</v>
      </c>
      <c r="BE104" s="78">
        <f t="shared" si="19"/>
        <v>0.38787299999999997</v>
      </c>
      <c r="BF104" s="78">
        <f t="shared" si="20"/>
        <v>0.28778400000000004</v>
      </c>
      <c r="BG104" s="78">
        <f t="shared" si="21"/>
        <v>0.29339999999999999</v>
      </c>
      <c r="BH104" s="78">
        <f t="shared" si="22"/>
        <v>0.25131599999999998</v>
      </c>
      <c r="BI104" s="78">
        <f t="shared" si="23"/>
        <v>0.21578700000000003</v>
      </c>
      <c r="BJ104" s="78">
        <f t="shared" si="24"/>
        <v>0.24111499999999997</v>
      </c>
      <c r="BK104" s="78">
        <f t="shared" si="25"/>
        <v>0.16869600000000001</v>
      </c>
      <c r="BL104" s="78">
        <f t="shared" si="26"/>
        <v>0.19372799999999998</v>
      </c>
      <c r="BM104" s="78">
        <f t="shared" si="27"/>
        <v>0.16037500000000002</v>
      </c>
      <c r="BN104" s="78">
        <f t="shared" si="28"/>
        <v>0</v>
      </c>
    </row>
    <row r="105" spans="1:67" x14ac:dyDescent="0.2">
      <c r="A105" s="81" t="s">
        <v>441</v>
      </c>
      <c r="C105" s="87">
        <f t="shared" si="11"/>
        <v>18</v>
      </c>
      <c r="J105" s="78">
        <f t="shared" si="12"/>
        <v>0.72125732480152771</v>
      </c>
      <c r="N105" s="77" t="s">
        <v>1819</v>
      </c>
      <c r="O105" s="78">
        <f t="shared" si="13"/>
        <v>0.61629073285527491</v>
      </c>
      <c r="R105" s="78">
        <f t="shared" si="14"/>
        <v>0.73980000000000001</v>
      </c>
      <c r="S105" s="78">
        <f t="shared" si="14"/>
        <v>0.7238</v>
      </c>
      <c r="T105" s="78">
        <f t="shared" si="14"/>
        <v>0.75609999999999999</v>
      </c>
      <c r="U105" s="78">
        <f t="shared" si="14"/>
        <v>0.71</v>
      </c>
      <c r="V105" s="78">
        <f t="shared" si="14"/>
        <v>0.70409999999999995</v>
      </c>
      <c r="W105" s="78">
        <f t="shared" si="15"/>
        <v>0.74879999999999991</v>
      </c>
      <c r="X105" s="78">
        <f t="shared" si="16"/>
        <v>0.68469999999999998</v>
      </c>
      <c r="Y105" s="78">
        <f t="shared" si="16"/>
        <v>0.67909999999999993</v>
      </c>
      <c r="Z105" s="78">
        <f t="shared" si="16"/>
        <v>0.68819999999999992</v>
      </c>
      <c r="AA105" s="78">
        <f t="shared" si="16"/>
        <v>0.74060000000000004</v>
      </c>
      <c r="AB105" s="78">
        <f t="shared" si="16"/>
        <v>0.73360000000000003</v>
      </c>
      <c r="AC105" s="78">
        <f t="shared" si="16"/>
        <v>0.72950000000000004</v>
      </c>
      <c r="AD105" s="78" cm="1">
        <f t="array" ref="AD105">INDEX(AD$143:AD$173,$C105)</f>
        <v>0.73980000000000001</v>
      </c>
      <c r="AE105" s="78" cm="1">
        <f t="array" ref="AE105">INDEX(AE$143:AE$173,$C105)</f>
        <v>0.7238</v>
      </c>
      <c r="AF105" s="78" cm="1">
        <f t="array" ref="AF105">INDEX(AF$143:AF$173,$C105)</f>
        <v>0.75609999999999999</v>
      </c>
      <c r="AG105" s="78" cm="1">
        <f t="array" ref="AG105">INDEX(AG$143:AG$173,$C105)</f>
        <v>0.71</v>
      </c>
      <c r="AH105" s="78" cm="1">
        <f t="array" ref="AH105">INDEX(AH$143:AH$173,$C105)</f>
        <v>0.70409999999999995</v>
      </c>
      <c r="AI105" s="78" cm="1">
        <f t="array" ref="AI105">INDEX(AI$143:AI$173,$C105)</f>
        <v>0.74879999999999991</v>
      </c>
      <c r="AJ105" s="78" cm="1">
        <f t="array" ref="AJ105">INDEX(AJ$143:AJ$173,$C105)</f>
        <v>0.68469999999999998</v>
      </c>
      <c r="AK105" s="78" cm="1">
        <f t="array" ref="AK105">INDEX(AK$143:AK$173,$C105)</f>
        <v>0.67909999999999993</v>
      </c>
      <c r="AL105" s="78" cm="1">
        <f t="array" ref="AL105">INDEX(AL$143:AL$173,$C105)</f>
        <v>0.68819999999999992</v>
      </c>
      <c r="AM105" s="78" cm="1">
        <f t="array" ref="AM105">INDEX(AM$143:AM$173,$C105)</f>
        <v>0.74060000000000004</v>
      </c>
      <c r="AN105" s="78" cm="1">
        <f t="array" ref="AN105">INDEX(AN$143:AN$173,$C105)</f>
        <v>0.73360000000000003</v>
      </c>
      <c r="AO105" s="78" cm="1">
        <f t="array" ref="AO105">INDEX(AO$143:AO$173,$C105)</f>
        <v>0.72950000000000004</v>
      </c>
      <c r="AP105" s="513" t="s">
        <v>1819</v>
      </c>
      <c r="AQ105" s="523">
        <f t="shared" si="17"/>
        <v>0.98</v>
      </c>
      <c r="AR105" s="523">
        <f t="shared" si="17"/>
        <v>0.78</v>
      </c>
      <c r="AS105" s="523">
        <f t="shared" si="17"/>
        <v>0.71</v>
      </c>
      <c r="AT105" s="523">
        <f t="shared" si="17"/>
        <v>0.56000000000000005</v>
      </c>
      <c r="AU105" s="523">
        <f t="shared" si="17"/>
        <v>0.45</v>
      </c>
      <c r="AV105" s="523">
        <f t="shared" si="17"/>
        <v>0.39</v>
      </c>
      <c r="AW105" s="523">
        <f t="shared" si="17"/>
        <v>0.33</v>
      </c>
      <c r="AX105" s="523">
        <f t="shared" si="17"/>
        <v>0.35</v>
      </c>
      <c r="AY105" s="523">
        <f t="shared" si="17"/>
        <v>0.33</v>
      </c>
      <c r="AZ105" s="523">
        <f t="shared" si="17"/>
        <v>0.32</v>
      </c>
      <c r="BA105" s="523">
        <f t="shared" si="17"/>
        <v>0.25</v>
      </c>
      <c r="BB105" s="512">
        <f t="shared" si="30"/>
        <v>0.25</v>
      </c>
      <c r="BC105" s="78">
        <f t="shared" si="31"/>
        <v>0.72500399999999998</v>
      </c>
      <c r="BD105" s="78">
        <f t="shared" si="18"/>
        <v>0.56456400000000007</v>
      </c>
      <c r="BE105" s="78">
        <f t="shared" si="19"/>
        <v>0.53683099999999995</v>
      </c>
      <c r="BF105" s="78">
        <f t="shared" si="20"/>
        <v>0.39760000000000001</v>
      </c>
      <c r="BG105" s="78">
        <f t="shared" si="21"/>
        <v>0.31684499999999999</v>
      </c>
      <c r="BH105" s="78">
        <f t="shared" si="22"/>
        <v>0.29203199999999996</v>
      </c>
      <c r="BI105" s="78">
        <f t="shared" si="23"/>
        <v>0.22595100000000001</v>
      </c>
      <c r="BJ105" s="78">
        <f t="shared" si="24"/>
        <v>0.23768499999999995</v>
      </c>
      <c r="BK105" s="78">
        <f t="shared" si="25"/>
        <v>0.22710599999999997</v>
      </c>
      <c r="BL105" s="78">
        <f t="shared" si="26"/>
        <v>0.23699200000000001</v>
      </c>
      <c r="BM105" s="78">
        <f t="shared" si="27"/>
        <v>0.18340000000000001</v>
      </c>
      <c r="BN105" s="78">
        <f t="shared" si="28"/>
        <v>0.18237500000000001</v>
      </c>
    </row>
    <row r="106" spans="1:67" x14ac:dyDescent="0.2">
      <c r="A106" s="81" t="s">
        <v>434</v>
      </c>
      <c r="C106" s="87">
        <f t="shared" si="11"/>
        <v>20</v>
      </c>
      <c r="J106" s="78">
        <f t="shared" si="12"/>
        <v>0.82643832522800109</v>
      </c>
      <c r="N106" s="77" t="s">
        <v>1821</v>
      </c>
      <c r="O106" s="78">
        <f t="shared" si="13"/>
        <v>0.8094138159760893</v>
      </c>
      <c r="R106" s="78">
        <f t="shared" si="14"/>
        <v>0.82750000000000001</v>
      </c>
      <c r="S106" s="78">
        <f t="shared" si="14"/>
        <v>0.8014</v>
      </c>
      <c r="T106" s="78">
        <f t="shared" si="14"/>
        <v>0.81640000000000001</v>
      </c>
      <c r="U106" s="78">
        <f t="shared" si="14"/>
        <v>0.81120000000000003</v>
      </c>
      <c r="V106" s="78">
        <f t="shared" si="14"/>
        <v>0.81200000000000006</v>
      </c>
      <c r="W106" s="78">
        <f t="shared" si="15"/>
        <v>0.78370000000000006</v>
      </c>
      <c r="X106" s="78">
        <f t="shared" si="16"/>
        <v>0.79349999999999998</v>
      </c>
      <c r="Y106" s="78">
        <f t="shared" si="16"/>
        <v>0.78790000000000004</v>
      </c>
      <c r="Z106" s="78">
        <f t="shared" si="16"/>
        <v>0.76450000000000007</v>
      </c>
      <c r="AA106" s="78">
        <f t="shared" si="16"/>
        <v>0.80110000000000003</v>
      </c>
      <c r="AB106" s="78">
        <f t="shared" si="16"/>
        <v>0.79409999999999992</v>
      </c>
      <c r="AC106" s="78">
        <f t="shared" si="16"/>
        <v>0.79</v>
      </c>
      <c r="AD106" s="78" cm="1">
        <f t="array" ref="AD106">INDEX(AD$143:AD$173,$C106)</f>
        <v>0.82750000000000001</v>
      </c>
      <c r="AE106" s="78" cm="1">
        <f t="array" ref="AE106">INDEX(AE$143:AE$173,$C106)</f>
        <v>0.8014</v>
      </c>
      <c r="AF106" s="78" cm="1">
        <f t="array" ref="AF106">INDEX(AF$143:AF$173,$C106)</f>
        <v>0.81640000000000001</v>
      </c>
      <c r="AG106" s="78" cm="1">
        <f t="array" ref="AG106">INDEX(AG$143:AG$173,$C106)</f>
        <v>0.81120000000000003</v>
      </c>
      <c r="AH106" s="78" cm="1">
        <f t="array" ref="AH106">INDEX(AH$143:AH$173,$C106)</f>
        <v>0.81200000000000006</v>
      </c>
      <c r="AI106" s="78" cm="1">
        <f t="array" ref="AI106">INDEX(AI$143:AI$173,$C106)</f>
        <v>0.78370000000000006</v>
      </c>
      <c r="AJ106" s="78" cm="1">
        <f t="array" ref="AJ106">INDEX(AJ$143:AJ$173,$C106)</f>
        <v>0.79349999999999998</v>
      </c>
      <c r="AK106" s="78" cm="1">
        <f t="array" ref="AK106">INDEX(AK$143:AK$173,$C106)</f>
        <v>0.78790000000000004</v>
      </c>
      <c r="AL106" s="78" cm="1">
        <f t="array" ref="AL106">INDEX(AL$143:AL$173,$C106)</f>
        <v>0.76450000000000007</v>
      </c>
      <c r="AM106" s="78" cm="1">
        <f t="array" ref="AM106">INDEX(AM$143:AM$173,$C106)</f>
        <v>0.80110000000000003</v>
      </c>
      <c r="AN106" s="78" cm="1">
        <f t="array" ref="AN106">INDEX(AN$143:AN$173,$C106)</f>
        <v>0.79409999999999992</v>
      </c>
      <c r="AO106" s="78" cm="1">
        <f t="array" ref="AO106">INDEX(AO$143:AO$173,$C106)</f>
        <v>0.79</v>
      </c>
      <c r="AP106" s="513" t="s">
        <v>1820</v>
      </c>
      <c r="AQ106" s="523">
        <f t="shared" si="17"/>
        <v>0.99</v>
      </c>
      <c r="AR106" s="523">
        <f t="shared" si="17"/>
        <v>0.89</v>
      </c>
      <c r="AS106" s="523">
        <f t="shared" si="17"/>
        <v>0.85499999999999998</v>
      </c>
      <c r="AT106" s="523">
        <f t="shared" si="17"/>
        <v>0.78</v>
      </c>
      <c r="AU106" s="523">
        <f t="shared" si="17"/>
        <v>0.72499999999999998</v>
      </c>
      <c r="AV106" s="523">
        <f t="shared" si="17"/>
        <v>0.69500000000000006</v>
      </c>
      <c r="AW106" s="523">
        <f t="shared" si="17"/>
        <v>0.66500000000000004</v>
      </c>
      <c r="AX106" s="523">
        <f t="shared" si="17"/>
        <v>0.67500000000000004</v>
      </c>
      <c r="AY106" s="523">
        <f t="shared" si="17"/>
        <v>0.66500000000000004</v>
      </c>
      <c r="AZ106" s="523">
        <f t="shared" si="17"/>
        <v>0.66</v>
      </c>
      <c r="BA106" s="523">
        <f t="shared" si="17"/>
        <v>0.625</v>
      </c>
      <c r="BB106" s="512">
        <f t="shared" si="30"/>
        <v>0.625</v>
      </c>
      <c r="BC106" s="78">
        <f t="shared" si="31"/>
        <v>0.81922499999999998</v>
      </c>
      <c r="BD106" s="78">
        <f t="shared" si="18"/>
        <v>0.71324600000000005</v>
      </c>
      <c r="BE106" s="78">
        <f t="shared" si="19"/>
        <v>0.69802200000000003</v>
      </c>
      <c r="BF106" s="78">
        <f t="shared" si="20"/>
        <v>0.63273600000000008</v>
      </c>
      <c r="BG106" s="78">
        <f t="shared" si="21"/>
        <v>0.5887</v>
      </c>
      <c r="BH106" s="78">
        <f t="shared" si="22"/>
        <v>0.54467150000000009</v>
      </c>
      <c r="BI106" s="78">
        <f t="shared" si="23"/>
        <v>0.52767750000000002</v>
      </c>
      <c r="BJ106" s="78">
        <f t="shared" si="24"/>
        <v>0.53183250000000004</v>
      </c>
      <c r="BK106" s="78">
        <f t="shared" si="25"/>
        <v>0.50839250000000002</v>
      </c>
      <c r="BL106" s="78">
        <f t="shared" si="26"/>
        <v>0.52872600000000003</v>
      </c>
      <c r="BM106" s="78">
        <f t="shared" si="27"/>
        <v>0.49631249999999993</v>
      </c>
      <c r="BN106" s="78">
        <f t="shared" si="28"/>
        <v>0.49375000000000002</v>
      </c>
    </row>
    <row r="107" spans="1:67" x14ac:dyDescent="0.2">
      <c r="A107" s="81" t="s">
        <v>407</v>
      </c>
      <c r="C107" s="87">
        <f t="shared" si="11"/>
        <v>19</v>
      </c>
      <c r="J107" s="78">
        <f t="shared" si="12"/>
        <v>0.73613454813769208</v>
      </c>
      <c r="N107" s="77" t="s">
        <v>1820</v>
      </c>
      <c r="O107" s="78">
        <f t="shared" si="13"/>
        <v>0.69869089871477885</v>
      </c>
      <c r="R107" s="78">
        <f t="shared" si="14"/>
        <v>0.73049999999999993</v>
      </c>
      <c r="S107" s="78">
        <f t="shared" si="14"/>
        <v>0.74620000000000009</v>
      </c>
      <c r="T107" s="78">
        <f t="shared" si="14"/>
        <v>0.75319999999999998</v>
      </c>
      <c r="U107" s="78">
        <f t="shared" si="14"/>
        <v>0.72620000000000007</v>
      </c>
      <c r="V107" s="78">
        <f t="shared" si="14"/>
        <v>0.745</v>
      </c>
      <c r="W107" s="78">
        <f t="shared" si="15"/>
        <v>0.77040000000000008</v>
      </c>
      <c r="X107" s="78">
        <f t="shared" si="16"/>
        <v>0.70129999999999992</v>
      </c>
      <c r="Y107" s="78">
        <f t="shared" si="16"/>
        <v>0.72180000000000011</v>
      </c>
      <c r="Z107" s="78">
        <f t="shared" si="16"/>
        <v>0.71930000000000005</v>
      </c>
      <c r="AA107" s="78">
        <f t="shared" si="16"/>
        <v>0.71629999999999994</v>
      </c>
      <c r="AB107" s="78">
        <f t="shared" si="16"/>
        <v>0.70930000000000004</v>
      </c>
      <c r="AC107" s="78">
        <f t="shared" si="16"/>
        <v>0.70519999999999994</v>
      </c>
      <c r="AD107" s="78" cm="1">
        <f t="array" ref="AD107">INDEX(AD$143:AD$173,$C107)</f>
        <v>0.73049999999999993</v>
      </c>
      <c r="AE107" s="78" cm="1">
        <f t="array" ref="AE107">INDEX(AE$143:AE$173,$C107)</f>
        <v>0.74620000000000009</v>
      </c>
      <c r="AF107" s="78" cm="1">
        <f t="array" ref="AF107">INDEX(AF$143:AF$173,$C107)</f>
        <v>0.75319999999999998</v>
      </c>
      <c r="AG107" s="78" cm="1">
        <f t="array" ref="AG107">INDEX(AG$143:AG$173,$C107)</f>
        <v>0.72620000000000007</v>
      </c>
      <c r="AH107" s="78" cm="1">
        <f t="array" ref="AH107">INDEX(AH$143:AH$173,$C107)</f>
        <v>0.745</v>
      </c>
      <c r="AI107" s="78" cm="1">
        <f t="array" ref="AI107">INDEX(AI$143:AI$173,$C107)</f>
        <v>0.77040000000000008</v>
      </c>
      <c r="AJ107" s="78" cm="1">
        <f t="array" ref="AJ107">INDEX(AJ$143:AJ$173,$C107)</f>
        <v>0.70129999999999992</v>
      </c>
      <c r="AK107" s="78" cm="1">
        <f t="array" ref="AK107">INDEX(AK$143:AK$173,$C107)</f>
        <v>0.72180000000000011</v>
      </c>
      <c r="AL107" s="78" cm="1">
        <f t="array" ref="AL107">INDEX(AL$143:AL$173,$C107)</f>
        <v>0.71930000000000005</v>
      </c>
      <c r="AM107" s="78" cm="1">
        <f t="array" ref="AM107">INDEX(AM$143:AM$173,$C107)</f>
        <v>0.71629999999999994</v>
      </c>
      <c r="AN107" s="78" cm="1">
        <f t="array" ref="AN107">INDEX(AN$143:AN$173,$C107)</f>
        <v>0.70930000000000004</v>
      </c>
      <c r="AO107" s="78" cm="1">
        <f t="array" ref="AO107">INDEX(AO$143:AO$173,$C107)</f>
        <v>0.70519999999999994</v>
      </c>
      <c r="AP107" s="513" t="s">
        <v>1820</v>
      </c>
      <c r="AQ107" s="523">
        <f t="shared" si="17"/>
        <v>0.99</v>
      </c>
      <c r="AR107" s="523">
        <f t="shared" si="17"/>
        <v>0.89</v>
      </c>
      <c r="AS107" s="523">
        <f t="shared" si="17"/>
        <v>0.85499999999999998</v>
      </c>
      <c r="AT107" s="523">
        <f t="shared" si="17"/>
        <v>0.78</v>
      </c>
      <c r="AU107" s="523">
        <f t="shared" si="17"/>
        <v>0.72499999999999998</v>
      </c>
      <c r="AV107" s="523">
        <f t="shared" si="17"/>
        <v>0.69500000000000006</v>
      </c>
      <c r="AW107" s="523">
        <f t="shared" si="17"/>
        <v>0.66500000000000004</v>
      </c>
      <c r="AX107" s="523">
        <f t="shared" si="17"/>
        <v>0.67500000000000004</v>
      </c>
      <c r="AY107" s="523">
        <f t="shared" si="17"/>
        <v>0.66500000000000004</v>
      </c>
      <c r="AZ107" s="523">
        <f t="shared" si="17"/>
        <v>0.66</v>
      </c>
      <c r="BA107" s="523">
        <f t="shared" si="17"/>
        <v>0.625</v>
      </c>
      <c r="BB107" s="512">
        <f t="shared" si="30"/>
        <v>0.625</v>
      </c>
      <c r="BC107" s="78">
        <f t="shared" si="31"/>
        <v>0.72319499999999992</v>
      </c>
      <c r="BD107" s="78">
        <f t="shared" si="18"/>
        <v>0.6641180000000001</v>
      </c>
      <c r="BE107" s="78">
        <f t="shared" si="19"/>
        <v>0.64398599999999995</v>
      </c>
      <c r="BF107" s="78">
        <f t="shared" si="20"/>
        <v>0.56643600000000005</v>
      </c>
      <c r="BG107" s="78">
        <f t="shared" si="21"/>
        <v>0.54012499999999997</v>
      </c>
      <c r="BH107" s="78">
        <f t="shared" si="22"/>
        <v>0.53542800000000013</v>
      </c>
      <c r="BI107" s="78">
        <f t="shared" si="23"/>
        <v>0.46636449999999996</v>
      </c>
      <c r="BJ107" s="78">
        <f t="shared" si="24"/>
        <v>0.48721500000000012</v>
      </c>
      <c r="BK107" s="78">
        <f t="shared" si="25"/>
        <v>0.47833450000000005</v>
      </c>
      <c r="BL107" s="78">
        <f t="shared" si="26"/>
        <v>0.47275799999999996</v>
      </c>
      <c r="BM107" s="78">
        <f t="shared" si="27"/>
        <v>0.4433125</v>
      </c>
      <c r="BN107" s="78">
        <f t="shared" si="28"/>
        <v>0.44074999999999998</v>
      </c>
    </row>
    <row r="108" spans="1:67" x14ac:dyDescent="0.2">
      <c r="A108" s="81" t="s">
        <v>413</v>
      </c>
      <c r="C108" s="87">
        <f t="shared" si="11"/>
        <v>21</v>
      </c>
      <c r="J108" s="78">
        <f t="shared" si="12"/>
        <v>0.72595096287472705</v>
      </c>
      <c r="N108" s="77" t="s">
        <v>1820</v>
      </c>
      <c r="O108" s="78">
        <f t="shared" si="13"/>
        <v>0.64697127709025493</v>
      </c>
      <c r="R108" s="78">
        <f t="shared" si="14"/>
        <v>0.67299999999999993</v>
      </c>
      <c r="S108" s="78">
        <f t="shared" si="14"/>
        <v>0.6876000000000001</v>
      </c>
      <c r="T108" s="78">
        <f t="shared" si="14"/>
        <v>0.70739999999999992</v>
      </c>
      <c r="U108" s="78">
        <f t="shared" si="14"/>
        <v>0.7097</v>
      </c>
      <c r="V108" s="78">
        <f t="shared" si="14"/>
        <v>0.69489999999999996</v>
      </c>
      <c r="W108" s="78">
        <f t="shared" si="15"/>
        <v>0.70530000000000004</v>
      </c>
      <c r="X108" s="78">
        <f t="shared" si="16"/>
        <v>0.6966</v>
      </c>
      <c r="Y108" s="78">
        <f t="shared" si="16"/>
        <v>0.69099999999999995</v>
      </c>
      <c r="Z108" s="78">
        <f t="shared" si="16"/>
        <v>0.75959999999999994</v>
      </c>
      <c r="AA108" s="78">
        <f t="shared" si="16"/>
        <v>0.70369999999999999</v>
      </c>
      <c r="AB108" s="78">
        <f t="shared" si="16"/>
        <v>0.69669999999999999</v>
      </c>
      <c r="AC108" s="78">
        <f t="shared" si="16"/>
        <v>0.6926000000000001</v>
      </c>
      <c r="AD108" s="78" cm="1">
        <f t="array" ref="AD108">INDEX(AD$143:AD$173,$C108)</f>
        <v>0.67299999999999993</v>
      </c>
      <c r="AE108" s="78" cm="1">
        <f t="array" ref="AE108">INDEX(AE$143:AE$173,$C108)</f>
        <v>0.6876000000000001</v>
      </c>
      <c r="AF108" s="78" cm="1">
        <f t="array" ref="AF108">INDEX(AF$143:AF$173,$C108)</f>
        <v>0.70739999999999992</v>
      </c>
      <c r="AG108" s="78" cm="1">
        <f t="array" ref="AG108">INDEX(AG$143:AG$173,$C108)</f>
        <v>0.7097</v>
      </c>
      <c r="AH108" s="78" cm="1">
        <f t="array" ref="AH108">INDEX(AH$143:AH$173,$C108)</f>
        <v>0.69489999999999996</v>
      </c>
      <c r="AI108" s="78" cm="1">
        <f t="array" ref="AI108">INDEX(AI$143:AI$173,$C108)</f>
        <v>0.70530000000000004</v>
      </c>
      <c r="AJ108" s="78" cm="1">
        <f t="array" ref="AJ108">INDEX(AJ$143:AJ$173,$C108)</f>
        <v>0.6966</v>
      </c>
      <c r="AK108" s="78" cm="1">
        <f t="array" ref="AK108">INDEX(AK$143:AK$173,$C108)</f>
        <v>0.69099999999999995</v>
      </c>
      <c r="AL108" s="78" cm="1">
        <f t="array" ref="AL108">INDEX(AL$143:AL$173,$C108)</f>
        <v>0.75959999999999994</v>
      </c>
      <c r="AM108" s="78" cm="1">
        <f t="array" ref="AM108">INDEX(AM$143:AM$173,$C108)</f>
        <v>0.70369999999999999</v>
      </c>
      <c r="AN108" s="78" cm="1">
        <f t="array" ref="AN108">INDEX(AN$143:AN$173,$C108)</f>
        <v>0.69669999999999999</v>
      </c>
      <c r="AO108" s="78" cm="1">
        <f t="array" ref="AO108">INDEX(AO$143:AO$173,$C108)</f>
        <v>0.6926000000000001</v>
      </c>
      <c r="AP108" s="513" t="s">
        <v>1820</v>
      </c>
      <c r="AQ108" s="523">
        <f t="shared" si="17"/>
        <v>0.99</v>
      </c>
      <c r="AR108" s="523">
        <f t="shared" si="17"/>
        <v>0.89</v>
      </c>
      <c r="AS108" s="523">
        <f t="shared" si="17"/>
        <v>0.85499999999999998</v>
      </c>
      <c r="AT108" s="523">
        <f t="shared" si="17"/>
        <v>0.78</v>
      </c>
      <c r="AU108" s="523">
        <f t="shared" si="17"/>
        <v>0.72499999999999998</v>
      </c>
      <c r="AV108" s="523">
        <f t="shared" si="17"/>
        <v>0.69500000000000006</v>
      </c>
      <c r="AW108" s="523">
        <f t="shared" si="17"/>
        <v>0.66500000000000004</v>
      </c>
      <c r="AX108" s="523">
        <f t="shared" si="17"/>
        <v>0.67500000000000004</v>
      </c>
      <c r="AY108" s="523">
        <f t="shared" si="17"/>
        <v>0.66500000000000004</v>
      </c>
      <c r="AZ108" s="523">
        <f t="shared" si="17"/>
        <v>0.66</v>
      </c>
      <c r="BA108" s="523">
        <f t="shared" si="17"/>
        <v>0.625</v>
      </c>
      <c r="BB108" s="512">
        <f t="shared" si="30"/>
        <v>0.625</v>
      </c>
      <c r="BC108" s="78">
        <f t="shared" si="31"/>
        <v>0.66626999999999992</v>
      </c>
      <c r="BD108" s="78">
        <f t="shared" si="18"/>
        <v>0.61196400000000006</v>
      </c>
      <c r="BE108" s="78">
        <f t="shared" si="19"/>
        <v>0.60482699999999989</v>
      </c>
      <c r="BF108" s="78">
        <f t="shared" si="20"/>
        <v>0.553566</v>
      </c>
      <c r="BG108" s="78">
        <f t="shared" si="21"/>
        <v>0.50380249999999993</v>
      </c>
      <c r="BH108" s="78">
        <f t="shared" si="22"/>
        <v>0.49018350000000005</v>
      </c>
      <c r="BI108" s="78">
        <f t="shared" si="23"/>
        <v>0.46323900000000001</v>
      </c>
      <c r="BJ108" s="78">
        <f t="shared" si="24"/>
        <v>0.46642499999999998</v>
      </c>
      <c r="BK108" s="78">
        <f t="shared" si="25"/>
        <v>0.50513399999999997</v>
      </c>
      <c r="BL108" s="78">
        <f t="shared" si="26"/>
        <v>0.46444200000000002</v>
      </c>
      <c r="BM108" s="78">
        <f t="shared" si="27"/>
        <v>0.43543749999999998</v>
      </c>
      <c r="BN108" s="78">
        <f t="shared" si="28"/>
        <v>0.43287500000000007</v>
      </c>
    </row>
    <row r="109" spans="1:67" x14ac:dyDescent="0.2">
      <c r="A109" s="81" t="s">
        <v>426</v>
      </c>
      <c r="C109" s="87">
        <f t="shared" si="11"/>
        <v>30</v>
      </c>
      <c r="J109" s="78">
        <v>0.75</v>
      </c>
      <c r="N109" s="77" t="s">
        <v>1820</v>
      </c>
      <c r="O109" s="78">
        <f t="shared" si="13"/>
        <v>0.53631914390806956</v>
      </c>
      <c r="R109" s="78">
        <f t="shared" si="14"/>
        <v>0.75639999999999996</v>
      </c>
      <c r="S109" s="78">
        <f t="shared" si="14"/>
        <v>0.7923</v>
      </c>
      <c r="T109" s="78">
        <f t="shared" si="14"/>
        <v>0.84219999999999995</v>
      </c>
      <c r="U109" s="78">
        <f t="shared" si="14"/>
        <v>0.83579999999999999</v>
      </c>
      <c r="V109" s="78">
        <f t="shared" si="14"/>
        <v>0.85199999999999998</v>
      </c>
      <c r="W109" s="78">
        <f t="shared" ref="W109:W114" si="32">AI109</f>
        <v>0.81900000000000006</v>
      </c>
      <c r="X109" s="78">
        <f t="shared" si="16"/>
        <v>0.8599</v>
      </c>
      <c r="Y109" s="78">
        <f t="shared" si="16"/>
        <v>0.86659999999999993</v>
      </c>
      <c r="Z109" s="78">
        <f t="shared" si="16"/>
        <v>0.79519999999999991</v>
      </c>
      <c r="AA109" s="78">
        <f t="shared" si="16"/>
        <v>0.8176000000000001</v>
      </c>
      <c r="AB109" s="78">
        <f t="shared" si="16"/>
        <v>0.81059999999999999</v>
      </c>
      <c r="AC109" s="78">
        <f t="shared" si="16"/>
        <v>0.80579999999999996</v>
      </c>
      <c r="AD109" s="78" cm="1">
        <f t="array" ref="AD109">INDEX(AD$143:AD$173,$C109)</f>
        <v>0.75639999999999996</v>
      </c>
      <c r="AE109" s="78" cm="1">
        <f t="array" ref="AE109">INDEX(AE$143:AE$173,$C109)</f>
        <v>0.7923</v>
      </c>
      <c r="AF109" s="78" cm="1">
        <f t="array" ref="AF109">INDEX(AF$143:AF$173,$C109)</f>
        <v>0.84219999999999995</v>
      </c>
      <c r="AG109" s="78" cm="1">
        <f t="array" ref="AG109">INDEX(AG$143:AG$173,$C109)</f>
        <v>0.83579999999999999</v>
      </c>
      <c r="AH109" s="78" cm="1">
        <f t="array" ref="AH109">INDEX(AH$143:AH$173,$C109)</f>
        <v>0.85199999999999998</v>
      </c>
      <c r="AI109" s="78" cm="1">
        <f t="array" ref="AI109">INDEX(AI$143:AI$173,$C109)</f>
        <v>0.81900000000000006</v>
      </c>
      <c r="AJ109" s="78" cm="1">
        <f t="array" ref="AJ109">INDEX(AJ$143:AJ$173,$C109)</f>
        <v>0.8599</v>
      </c>
      <c r="AK109" s="78" cm="1">
        <f t="array" ref="AK109">INDEX(AK$143:AK$173,$C109)</f>
        <v>0.86659999999999993</v>
      </c>
      <c r="AL109" s="78" cm="1">
        <f t="array" ref="AL109">INDEX(AL$143:AL$173,$C109)</f>
        <v>0.79519999999999991</v>
      </c>
      <c r="AM109" s="78" cm="1">
        <f t="array" ref="AM109">INDEX(AM$143:AM$173,$C109)</f>
        <v>0.8176000000000001</v>
      </c>
      <c r="AN109" s="78" cm="1">
        <f t="array" ref="AN109">INDEX(AN$143:AN$173,$C109)</f>
        <v>0.81059999999999999</v>
      </c>
      <c r="AO109" s="78" cm="1">
        <f t="array" ref="AO109">INDEX(AO$143:AO$173,$C109)</f>
        <v>0.80579999999999996</v>
      </c>
      <c r="AP109" s="513" t="s">
        <v>1820</v>
      </c>
      <c r="AQ109" s="523">
        <f t="shared" si="17"/>
        <v>0.99</v>
      </c>
      <c r="AR109" s="523">
        <f t="shared" si="17"/>
        <v>0.89</v>
      </c>
      <c r="AS109" s="523">
        <f t="shared" si="17"/>
        <v>0.85499999999999998</v>
      </c>
      <c r="AT109" s="523">
        <f t="shared" si="17"/>
        <v>0.78</v>
      </c>
      <c r="AU109" s="523">
        <f t="shared" si="17"/>
        <v>0.72499999999999998</v>
      </c>
      <c r="AV109" s="523">
        <f t="shared" si="17"/>
        <v>0.69500000000000006</v>
      </c>
      <c r="AW109" s="523">
        <f t="shared" si="17"/>
        <v>0.66500000000000004</v>
      </c>
      <c r="AX109" s="523">
        <f t="shared" si="17"/>
        <v>0.67500000000000004</v>
      </c>
      <c r="AY109" s="523">
        <f t="shared" si="17"/>
        <v>0.66500000000000004</v>
      </c>
      <c r="AZ109" s="523">
        <f t="shared" si="17"/>
        <v>0.66</v>
      </c>
      <c r="BA109" s="523">
        <f t="shared" si="17"/>
        <v>0.625</v>
      </c>
      <c r="BB109" s="512">
        <f t="shared" si="30"/>
        <v>0.625</v>
      </c>
      <c r="BC109" s="78">
        <f t="shared" si="31"/>
        <v>0.74883599999999995</v>
      </c>
      <c r="BD109" s="78">
        <f t="shared" si="18"/>
        <v>0.70514699999999997</v>
      </c>
      <c r="BE109" s="78">
        <f t="shared" si="19"/>
        <v>0.72008099999999997</v>
      </c>
      <c r="BF109" s="78">
        <f t="shared" si="20"/>
        <v>0.65192400000000006</v>
      </c>
      <c r="BG109" s="78">
        <f t="shared" si="21"/>
        <v>0.61769999999999992</v>
      </c>
      <c r="BH109" s="78">
        <f t="shared" si="22"/>
        <v>0.56920500000000007</v>
      </c>
      <c r="BI109" s="78">
        <f t="shared" si="23"/>
        <v>0.57183349999999999</v>
      </c>
      <c r="BJ109" s="78">
        <f t="shared" si="24"/>
        <v>0.584955</v>
      </c>
      <c r="BK109" s="78">
        <f t="shared" si="25"/>
        <v>0.52880799999999994</v>
      </c>
      <c r="BL109" s="78">
        <f t="shared" si="26"/>
        <v>0.5396160000000001</v>
      </c>
      <c r="BM109" s="78">
        <f t="shared" si="27"/>
        <v>0.50662499999999999</v>
      </c>
      <c r="BN109" s="78">
        <f t="shared" si="28"/>
        <v>0.50362499999999999</v>
      </c>
    </row>
    <row r="110" spans="1:67" x14ac:dyDescent="0.2">
      <c r="A110" s="81" t="s">
        <v>418</v>
      </c>
      <c r="C110" s="87">
        <f t="shared" si="11"/>
        <v>22</v>
      </c>
      <c r="J110" s="78">
        <f>J15/(J76*8760)</f>
        <v>0.62790490965148504</v>
      </c>
      <c r="N110" s="77" t="s">
        <v>1819</v>
      </c>
      <c r="O110" s="78">
        <f t="shared" si="13"/>
        <v>0.5381100970535827</v>
      </c>
      <c r="R110" s="78">
        <f t="shared" si="14"/>
        <v>0.56059999999999999</v>
      </c>
      <c r="S110" s="78">
        <f t="shared" si="14"/>
        <v>0.56859999999999999</v>
      </c>
      <c r="T110" s="78">
        <f t="shared" si="14"/>
        <v>0.54049999999999998</v>
      </c>
      <c r="U110" s="78">
        <f t="shared" si="14"/>
        <v>0.59150000000000003</v>
      </c>
      <c r="V110" s="78">
        <f t="shared" si="14"/>
        <v>0.54920000000000002</v>
      </c>
      <c r="W110" s="78">
        <f t="shared" si="32"/>
        <v>0.61149999999999993</v>
      </c>
      <c r="X110" s="78">
        <f t="shared" si="16"/>
        <v>0.57840000000000003</v>
      </c>
      <c r="Y110" s="78">
        <f t="shared" si="16"/>
        <v>0.57369999999999999</v>
      </c>
      <c r="Z110" s="78">
        <f t="shared" si="16"/>
        <v>0.62549999999999994</v>
      </c>
      <c r="AA110" s="78">
        <f t="shared" si="16"/>
        <v>0.58779999999999999</v>
      </c>
      <c r="AB110" s="78">
        <f t="shared" si="16"/>
        <v>0.58030000000000004</v>
      </c>
      <c r="AC110" s="78">
        <f t="shared" si="16"/>
        <v>0.57669999999999999</v>
      </c>
      <c r="AD110" s="78" cm="1">
        <f t="array" ref="AD110">INDEX(AD$143:AD$173,$C110)</f>
        <v>0.56059999999999999</v>
      </c>
      <c r="AE110" s="78" cm="1">
        <f t="array" ref="AE110">INDEX(AE$143:AE$173,$C110)</f>
        <v>0.56859999999999999</v>
      </c>
      <c r="AF110" s="78" cm="1">
        <f t="array" ref="AF110">INDEX(AF$143:AF$173,$C110)</f>
        <v>0.54049999999999998</v>
      </c>
      <c r="AG110" s="78" cm="1">
        <f t="array" ref="AG110">INDEX(AG$143:AG$173,$C110)</f>
        <v>0.59150000000000003</v>
      </c>
      <c r="AH110" s="78" cm="1">
        <f t="array" ref="AH110">INDEX(AH$143:AH$173,$C110)</f>
        <v>0.54920000000000002</v>
      </c>
      <c r="AI110" s="78" cm="1">
        <f t="array" ref="AI110">INDEX(AI$143:AI$173,$C110)</f>
        <v>0.61149999999999993</v>
      </c>
      <c r="AJ110" s="78" cm="1">
        <f t="array" ref="AJ110">INDEX(AJ$143:AJ$173,$C110)</f>
        <v>0.57840000000000003</v>
      </c>
      <c r="AK110" s="78" cm="1">
        <f t="array" ref="AK110">INDEX(AK$143:AK$173,$C110)</f>
        <v>0.57369999999999999</v>
      </c>
      <c r="AL110" s="78" cm="1">
        <f t="array" ref="AL110">INDEX(AL$143:AL$173,$C110)</f>
        <v>0.62549999999999994</v>
      </c>
      <c r="AM110" s="78" cm="1">
        <f t="array" ref="AM110">INDEX(AM$143:AM$173,$C110)</f>
        <v>0.58779999999999999</v>
      </c>
      <c r="AN110" s="78" cm="1">
        <f t="array" ref="AN110">INDEX(AN$143:AN$173,$C110)</f>
        <v>0.58030000000000004</v>
      </c>
      <c r="AO110" s="78" cm="1">
        <f t="array" ref="AO110">INDEX(AO$143:AO$173,$C110)</f>
        <v>0.57669999999999999</v>
      </c>
      <c r="AP110" s="513" t="str">
        <f t="shared" si="29"/>
        <v>low</v>
      </c>
      <c r="AQ110" s="523">
        <f t="shared" si="17"/>
        <v>0.98</v>
      </c>
      <c r="AR110" s="523">
        <f t="shared" si="17"/>
        <v>0.78</v>
      </c>
      <c r="AS110" s="523">
        <f t="shared" si="17"/>
        <v>0.71</v>
      </c>
      <c r="AT110" s="523">
        <f t="shared" si="17"/>
        <v>0.56000000000000005</v>
      </c>
      <c r="AU110" s="523">
        <f t="shared" si="17"/>
        <v>0.45</v>
      </c>
      <c r="AV110" s="523">
        <f t="shared" si="17"/>
        <v>0.39</v>
      </c>
      <c r="AW110" s="523">
        <f t="shared" si="17"/>
        <v>0.33</v>
      </c>
      <c r="AX110" s="523">
        <f t="shared" si="17"/>
        <v>0.35</v>
      </c>
      <c r="AY110" s="523">
        <f t="shared" si="17"/>
        <v>0.33</v>
      </c>
      <c r="AZ110" s="523">
        <f t="shared" si="17"/>
        <v>0.32</v>
      </c>
      <c r="BA110" s="523">
        <f t="shared" si="17"/>
        <v>0.25</v>
      </c>
      <c r="BB110" s="512">
        <f t="shared" si="30"/>
        <v>0.25</v>
      </c>
      <c r="BC110" s="78">
        <f t="shared" si="31"/>
        <v>0.54938799999999999</v>
      </c>
      <c r="BD110" s="78">
        <f t="shared" si="18"/>
        <v>0.44350800000000001</v>
      </c>
      <c r="BE110" s="78">
        <f t="shared" si="19"/>
        <v>0.38375499999999996</v>
      </c>
      <c r="BF110" s="78">
        <f t="shared" si="20"/>
        <v>0.33124000000000003</v>
      </c>
      <c r="BG110" s="78">
        <f t="shared" si="21"/>
        <v>0.24714000000000003</v>
      </c>
      <c r="BH110" s="78">
        <f t="shared" si="22"/>
        <v>0.23848499999999997</v>
      </c>
      <c r="BI110" s="78">
        <f t="shared" si="23"/>
        <v>0.19087200000000001</v>
      </c>
      <c r="BJ110" s="78">
        <f t="shared" si="24"/>
        <v>0.20079499999999997</v>
      </c>
      <c r="BK110" s="78">
        <f t="shared" si="25"/>
        <v>0.20641499999999999</v>
      </c>
      <c r="BL110" s="78">
        <f t="shared" si="26"/>
        <v>0.18809600000000001</v>
      </c>
      <c r="BM110" s="78">
        <f t="shared" si="27"/>
        <v>0.14507500000000001</v>
      </c>
      <c r="BN110" s="78">
        <f t="shared" si="28"/>
        <v>0.144175</v>
      </c>
    </row>
    <row r="111" spans="1:67" x14ac:dyDescent="0.2">
      <c r="A111" s="81" t="s">
        <v>513</v>
      </c>
      <c r="C111" s="87">
        <f t="shared" si="11"/>
        <v>29</v>
      </c>
      <c r="J111" s="78"/>
      <c r="N111" s="77" t="s">
        <v>1820</v>
      </c>
      <c r="O111" s="78">
        <f t="shared" si="13"/>
        <v>0.21782637665233018</v>
      </c>
      <c r="R111" s="78">
        <f t="shared" si="14"/>
        <v>0.72</v>
      </c>
      <c r="S111" s="78">
        <f t="shared" si="14"/>
        <v>0.76549999999999996</v>
      </c>
      <c r="T111" s="78">
        <f t="shared" si="14"/>
        <v>0.83719999999999994</v>
      </c>
      <c r="U111" s="78">
        <f t="shared" si="14"/>
        <v>0.81440000000000001</v>
      </c>
      <c r="V111" s="78">
        <f t="shared" si="14"/>
        <v>0.81620000000000004</v>
      </c>
      <c r="W111" s="78">
        <f t="shared" si="32"/>
        <v>0.83160000000000001</v>
      </c>
      <c r="X111" s="78">
        <f t="shared" si="16"/>
        <v>0.78209999999999991</v>
      </c>
      <c r="Y111" s="78">
        <f t="shared" si="16"/>
        <v>0.82409999999999994</v>
      </c>
      <c r="Z111" s="78">
        <f t="shared" si="16"/>
        <v>0.81669999999999998</v>
      </c>
      <c r="AA111" s="78">
        <f t="shared" si="16"/>
        <v>0.80120000000000002</v>
      </c>
      <c r="AB111" s="78">
        <f t="shared" si="16"/>
        <v>0.79420000000000002</v>
      </c>
      <c r="AC111" s="78">
        <f t="shared" si="16"/>
        <v>0.78939999999999999</v>
      </c>
      <c r="AD111" s="78" cm="1">
        <f t="array" ref="AD111">INDEX(AD$143:AD$173,$C111)</f>
        <v>0.72</v>
      </c>
      <c r="AE111" s="78" cm="1">
        <f t="array" ref="AE111">INDEX(AE$143:AE$173,$C111)</f>
        <v>0.76549999999999996</v>
      </c>
      <c r="AF111" s="78" cm="1">
        <f t="array" ref="AF111">INDEX(AF$143:AF$173,$C111)</f>
        <v>0.83719999999999994</v>
      </c>
      <c r="AG111" s="78" cm="1">
        <f t="array" ref="AG111">INDEX(AG$143:AG$173,$C111)</f>
        <v>0.81440000000000001</v>
      </c>
      <c r="AH111" s="78" cm="1">
        <f t="array" ref="AH111">INDEX(AH$143:AH$173,$C111)</f>
        <v>0.81620000000000004</v>
      </c>
      <c r="AI111" s="78" cm="1">
        <f t="array" ref="AI111">INDEX(AI$143:AI$173,$C111)</f>
        <v>0.83160000000000001</v>
      </c>
      <c r="AJ111" s="78" cm="1">
        <f t="array" ref="AJ111">INDEX(AJ$143:AJ$173,$C111)</f>
        <v>0.78209999999999991</v>
      </c>
      <c r="AK111" s="78" cm="1">
        <f t="array" ref="AK111">INDEX(AK$143:AK$173,$C111)</f>
        <v>0.82409999999999994</v>
      </c>
      <c r="AL111" s="78" cm="1">
        <f t="array" ref="AL111">INDEX(AL$143:AL$173,$C111)</f>
        <v>0.81669999999999998</v>
      </c>
      <c r="AM111" s="78" cm="1">
        <f t="array" ref="AM111">INDEX(AM$143:AM$173,$C111)</f>
        <v>0.80120000000000002</v>
      </c>
      <c r="AN111" s="78" cm="1">
        <f t="array" ref="AN111">INDEX(AN$143:AN$173,$C111)</f>
        <v>0.79420000000000002</v>
      </c>
      <c r="AO111" s="78" cm="1">
        <f t="array" ref="AO111">INDEX(AO$143:AO$173,$C111)</f>
        <v>0.78939999999999999</v>
      </c>
      <c r="AP111" s="513" t="s">
        <v>1820</v>
      </c>
      <c r="AQ111" s="523">
        <f t="shared" si="17"/>
        <v>0.99</v>
      </c>
      <c r="AR111" s="523">
        <f t="shared" si="17"/>
        <v>0.89</v>
      </c>
      <c r="AS111" s="523">
        <f t="shared" si="17"/>
        <v>0.85499999999999998</v>
      </c>
      <c r="AT111" s="523">
        <f t="shared" si="17"/>
        <v>0.78</v>
      </c>
      <c r="AU111" s="523">
        <f t="shared" si="17"/>
        <v>0.72499999999999998</v>
      </c>
      <c r="AV111" s="523">
        <f t="shared" si="17"/>
        <v>0.69500000000000006</v>
      </c>
      <c r="AW111" s="523">
        <f t="shared" si="17"/>
        <v>0.66500000000000004</v>
      </c>
      <c r="AX111" s="523">
        <f t="shared" si="17"/>
        <v>0.67500000000000004</v>
      </c>
      <c r="AY111" s="523">
        <f t="shared" si="17"/>
        <v>0.66500000000000004</v>
      </c>
      <c r="AZ111" s="523">
        <f t="shared" si="17"/>
        <v>0.66</v>
      </c>
      <c r="BA111" s="523">
        <f t="shared" si="17"/>
        <v>0.625</v>
      </c>
      <c r="BB111" s="512">
        <f t="shared" si="30"/>
        <v>0.625</v>
      </c>
      <c r="BC111" s="78">
        <f t="shared" si="31"/>
        <v>0.71279999999999999</v>
      </c>
      <c r="BD111" s="78">
        <f t="shared" si="18"/>
        <v>0.68129499999999998</v>
      </c>
      <c r="BE111" s="78">
        <f t="shared" si="19"/>
        <v>0.71580599999999994</v>
      </c>
      <c r="BF111" s="78">
        <f t="shared" si="20"/>
        <v>0.63523200000000002</v>
      </c>
      <c r="BG111" s="78">
        <f t="shared" si="21"/>
        <v>0.59174499999999997</v>
      </c>
      <c r="BH111" s="78">
        <f t="shared" si="22"/>
        <v>0.57796200000000009</v>
      </c>
      <c r="BI111" s="78">
        <f t="shared" si="23"/>
        <v>0.52009649999999996</v>
      </c>
      <c r="BJ111" s="78">
        <f t="shared" si="24"/>
        <v>0.55626750000000003</v>
      </c>
      <c r="BK111" s="78">
        <f t="shared" si="25"/>
        <v>0.54310550000000002</v>
      </c>
      <c r="BL111" s="78">
        <f t="shared" si="26"/>
        <v>0.52879200000000004</v>
      </c>
      <c r="BM111" s="78">
        <f t="shared" si="27"/>
        <v>0.49637500000000001</v>
      </c>
      <c r="BN111" s="78">
        <f t="shared" si="28"/>
        <v>0.49337500000000001</v>
      </c>
    </row>
    <row r="112" spans="1:67" x14ac:dyDescent="0.2">
      <c r="A112" s="81" t="s">
        <v>470</v>
      </c>
      <c r="C112" s="87">
        <f t="shared" si="11"/>
        <v>24</v>
      </c>
      <c r="J112" s="78">
        <f>J30/(J78*8760)</f>
        <v>0.65972201228153049</v>
      </c>
      <c r="N112" s="77" t="s">
        <v>1819</v>
      </c>
      <c r="O112" s="78">
        <f>W30/(O78*8.76)*1000</f>
        <v>0.54111740129475128</v>
      </c>
      <c r="R112" s="78">
        <f t="shared" si="14"/>
        <v>0.6</v>
      </c>
      <c r="S112" s="78">
        <f t="shared" si="14"/>
        <v>0.55810000000000004</v>
      </c>
      <c r="T112" s="78">
        <f t="shared" si="14"/>
        <v>0.61240000000000006</v>
      </c>
      <c r="U112" s="78">
        <f t="shared" si="14"/>
        <v>0.64670000000000005</v>
      </c>
      <c r="V112" s="78">
        <f t="shared" si="14"/>
        <v>0.63060000000000005</v>
      </c>
      <c r="W112" s="78">
        <f t="shared" si="32"/>
        <v>0.63060000000000005</v>
      </c>
      <c r="X112" s="78">
        <f t="shared" si="16"/>
        <v>0.63060000000000005</v>
      </c>
      <c r="Y112" s="78">
        <f t="shared" si="16"/>
        <v>0.63060000000000005</v>
      </c>
      <c r="Z112" s="78">
        <f t="shared" si="16"/>
        <v>0.63060000000000005</v>
      </c>
      <c r="AA112" s="78">
        <f t="shared" si="16"/>
        <v>0</v>
      </c>
      <c r="AB112" s="78">
        <f t="shared" si="16"/>
        <v>0</v>
      </c>
      <c r="AC112" s="78">
        <f t="shared" si="16"/>
        <v>0</v>
      </c>
      <c r="AD112" s="78" cm="1">
        <f t="array" ref="AD112">INDEX(AD$143:AD$173,$C112)</f>
        <v>0.6</v>
      </c>
      <c r="AE112" s="78" cm="1">
        <f t="array" ref="AE112">INDEX(AE$143:AE$173,$C112)</f>
        <v>0.55810000000000004</v>
      </c>
      <c r="AF112" s="78" cm="1">
        <f t="array" ref="AF112">INDEX(AF$143:AF$173,$C112)</f>
        <v>0.61240000000000006</v>
      </c>
      <c r="AG112" s="78" cm="1">
        <f t="array" ref="AG112">INDEX(AG$143:AG$173,$C112)</f>
        <v>0.64670000000000005</v>
      </c>
      <c r="AH112" s="78" cm="1">
        <f t="array" ref="AH112">INDEX(AH$143:AH$173,$C112)</f>
        <v>0.63060000000000005</v>
      </c>
      <c r="AI112" s="78" cm="1">
        <f t="array" ref="AI112">INDEX(AI$143:AI$173,$C112)</f>
        <v>0.63060000000000005</v>
      </c>
      <c r="AJ112" s="78" cm="1">
        <f t="array" ref="AJ112">INDEX(AJ$143:AJ$173,$C112)</f>
        <v>0.63060000000000005</v>
      </c>
      <c r="AK112" s="78" cm="1">
        <f t="array" ref="AK112">INDEX(AK$143:AK$173,$C112)</f>
        <v>0.63060000000000005</v>
      </c>
      <c r="AL112" s="78" cm="1">
        <f t="array" ref="AL112">INDEX(AL$143:AL$173,$C112)</f>
        <v>0.63060000000000005</v>
      </c>
      <c r="AM112" s="78" cm="1">
        <f t="array" ref="AM112">INDEX(AM$143:AM$173,$C112)</f>
        <v>0</v>
      </c>
      <c r="AN112" s="78" cm="1">
        <f t="array" ref="AN112">INDEX(AN$143:AN$173,$C112)</f>
        <v>0</v>
      </c>
      <c r="AO112" s="78" cm="1">
        <f t="array" ref="AO112">INDEX(AO$143:AO$173,$C112)</f>
        <v>0</v>
      </c>
      <c r="AP112" s="513" t="s">
        <v>1819</v>
      </c>
      <c r="AQ112" s="523">
        <f t="shared" si="17"/>
        <v>0.98</v>
      </c>
      <c r="AR112" s="523">
        <f t="shared" si="17"/>
        <v>0.78</v>
      </c>
      <c r="AS112" s="523">
        <f t="shared" si="17"/>
        <v>0.71</v>
      </c>
      <c r="AT112" s="523">
        <f t="shared" si="17"/>
        <v>0.56000000000000005</v>
      </c>
      <c r="AU112" s="523">
        <f t="shared" si="17"/>
        <v>0.45</v>
      </c>
      <c r="AV112" s="523">
        <f t="shared" si="17"/>
        <v>0.39</v>
      </c>
      <c r="AW112" s="523">
        <f t="shared" si="17"/>
        <v>0.33</v>
      </c>
      <c r="AX112" s="523">
        <f t="shared" si="17"/>
        <v>0.35</v>
      </c>
      <c r="AY112" s="523">
        <f t="shared" si="17"/>
        <v>0.33</v>
      </c>
      <c r="AZ112" s="523">
        <f t="shared" si="17"/>
        <v>0.32</v>
      </c>
      <c r="BA112" s="523">
        <f t="shared" si="17"/>
        <v>0.25</v>
      </c>
      <c r="BB112" s="512">
        <f t="shared" si="30"/>
        <v>0.25</v>
      </c>
      <c r="BC112" s="78">
        <f t="shared" si="31"/>
        <v>0.58799999999999997</v>
      </c>
      <c r="BD112" s="78">
        <f t="shared" si="18"/>
        <v>0.43531800000000004</v>
      </c>
      <c r="BE112" s="78">
        <f t="shared" si="19"/>
        <v>0.43480400000000002</v>
      </c>
      <c r="BF112" s="78">
        <f t="shared" si="20"/>
        <v>0.36215200000000008</v>
      </c>
      <c r="BG112" s="78">
        <f t="shared" si="21"/>
        <v>0.28377000000000002</v>
      </c>
      <c r="BH112" s="78">
        <f t="shared" si="22"/>
        <v>0.24593400000000004</v>
      </c>
      <c r="BI112" s="78">
        <f t="shared" si="23"/>
        <v>0.20809800000000003</v>
      </c>
      <c r="BJ112" s="78">
        <f t="shared" si="24"/>
        <v>0.22070999999999999</v>
      </c>
      <c r="BK112" s="78">
        <f t="shared" si="25"/>
        <v>0.20809800000000003</v>
      </c>
      <c r="BL112" s="78">
        <f t="shared" si="26"/>
        <v>0</v>
      </c>
      <c r="BM112" s="78">
        <f t="shared" si="27"/>
        <v>0</v>
      </c>
      <c r="BN112" s="78">
        <f t="shared" si="28"/>
        <v>0</v>
      </c>
    </row>
    <row r="113" spans="1:66" x14ac:dyDescent="0.2">
      <c r="A113" s="81" t="s">
        <v>405</v>
      </c>
      <c r="C113" s="87">
        <f t="shared" si="11"/>
        <v>25</v>
      </c>
      <c r="J113" s="78">
        <f>J31/(J79*8760)</f>
        <v>0.57508902014997276</v>
      </c>
      <c r="N113" s="77" t="s">
        <v>1819</v>
      </c>
      <c r="O113" s="78">
        <f>W31/(O79*8.76)*1000</f>
        <v>0.36749690039180255</v>
      </c>
      <c r="R113" s="78">
        <f t="shared" si="14"/>
        <v>0.89150000000000007</v>
      </c>
      <c r="S113" s="78">
        <f t="shared" si="14"/>
        <v>0.89150000000000007</v>
      </c>
      <c r="T113" s="78">
        <f t="shared" si="14"/>
        <v>0.89150000000000007</v>
      </c>
      <c r="U113" s="78">
        <f t="shared" si="14"/>
        <v>0</v>
      </c>
      <c r="V113" s="78">
        <f t="shared" si="14"/>
        <v>0</v>
      </c>
      <c r="W113" s="78">
        <f t="shared" si="32"/>
        <v>0</v>
      </c>
      <c r="X113" s="78">
        <f t="shared" si="16"/>
        <v>0</v>
      </c>
      <c r="Y113" s="78">
        <f t="shared" si="16"/>
        <v>0</v>
      </c>
      <c r="Z113" s="78">
        <f t="shared" si="16"/>
        <v>0</v>
      </c>
      <c r="AA113" s="78">
        <f t="shared" si="16"/>
        <v>0</v>
      </c>
      <c r="AB113" s="78">
        <f t="shared" si="16"/>
        <v>0</v>
      </c>
      <c r="AC113" s="78">
        <f t="shared" si="16"/>
        <v>0</v>
      </c>
      <c r="AD113" s="78" cm="1">
        <f t="array" ref="AD113">INDEX(AD$143:AD$173,$C113)</f>
        <v>0.89150000000000007</v>
      </c>
      <c r="AE113" s="78" cm="1">
        <f t="array" ref="AE113">INDEX(AE$143:AE$173,$C113)</f>
        <v>0.89150000000000007</v>
      </c>
      <c r="AF113" s="78" cm="1">
        <f t="array" ref="AF113">INDEX(AF$143:AF$173,$C113)</f>
        <v>0.89150000000000007</v>
      </c>
      <c r="AG113" s="78" cm="1">
        <f t="array" ref="AG113">INDEX(AG$143:AG$173,$C113)</f>
        <v>0</v>
      </c>
      <c r="AH113" s="78" cm="1">
        <f t="array" ref="AH113">INDEX(AH$143:AH$173,$C113)</f>
        <v>0</v>
      </c>
      <c r="AI113" s="78" cm="1">
        <f t="array" ref="AI113">INDEX(AI$143:AI$173,$C113)</f>
        <v>0</v>
      </c>
      <c r="AJ113" s="78" cm="1">
        <f t="array" ref="AJ113">INDEX(AJ$143:AJ$173,$C113)</f>
        <v>0</v>
      </c>
      <c r="AK113" s="78" cm="1">
        <f t="array" ref="AK113">INDEX(AK$143:AK$173,$C113)</f>
        <v>0</v>
      </c>
      <c r="AL113" s="78" cm="1">
        <f t="array" ref="AL113">INDEX(AL$143:AL$173,$C113)</f>
        <v>0</v>
      </c>
      <c r="AM113" s="78" cm="1">
        <f t="array" ref="AM113">INDEX(AM$143:AM$173,$C113)</f>
        <v>0</v>
      </c>
      <c r="AN113" s="78" cm="1">
        <f t="array" ref="AN113">INDEX(AN$143:AN$173,$C113)</f>
        <v>0</v>
      </c>
      <c r="AO113" s="78" cm="1">
        <f t="array" ref="AO113">INDEX(AO$143:AO$173,$C113)</f>
        <v>0</v>
      </c>
      <c r="AP113" s="513" t="s">
        <v>1819</v>
      </c>
      <c r="AQ113" s="523">
        <f t="shared" si="17"/>
        <v>0.98</v>
      </c>
      <c r="AR113" s="523">
        <f t="shared" si="17"/>
        <v>0.78</v>
      </c>
      <c r="AS113" s="523">
        <f t="shared" si="17"/>
        <v>0.71</v>
      </c>
      <c r="AT113" s="523">
        <f t="shared" si="17"/>
        <v>0.56000000000000005</v>
      </c>
      <c r="AU113" s="523">
        <f t="shared" si="17"/>
        <v>0.45</v>
      </c>
      <c r="AV113" s="523">
        <f t="shared" si="17"/>
        <v>0.39</v>
      </c>
      <c r="AW113" s="523">
        <f t="shared" si="17"/>
        <v>0.33</v>
      </c>
      <c r="AX113" s="523">
        <f t="shared" si="17"/>
        <v>0.35</v>
      </c>
      <c r="AY113" s="523">
        <f t="shared" si="17"/>
        <v>0.33</v>
      </c>
      <c r="AZ113" s="523">
        <f t="shared" si="17"/>
        <v>0.32</v>
      </c>
      <c r="BA113" s="523">
        <f t="shared" si="17"/>
        <v>0.25</v>
      </c>
      <c r="BB113" s="512">
        <f t="shared" si="30"/>
        <v>0.25</v>
      </c>
      <c r="BC113" s="78">
        <f t="shared" si="31"/>
        <v>0.87367000000000006</v>
      </c>
      <c r="BD113" s="78">
        <f t="shared" si="18"/>
        <v>0.69537000000000004</v>
      </c>
      <c r="BE113" s="78">
        <f t="shared" si="19"/>
        <v>0.632965</v>
      </c>
      <c r="BF113" s="78">
        <f t="shared" si="20"/>
        <v>0</v>
      </c>
      <c r="BG113" s="78">
        <f t="shared" si="21"/>
        <v>0</v>
      </c>
      <c r="BH113" s="78">
        <f t="shared" si="22"/>
        <v>0</v>
      </c>
      <c r="BI113" s="78">
        <f t="shared" si="23"/>
        <v>0</v>
      </c>
      <c r="BJ113" s="78">
        <f t="shared" si="24"/>
        <v>0</v>
      </c>
      <c r="BK113" s="78">
        <f t="shared" si="25"/>
        <v>0</v>
      </c>
      <c r="BL113" s="78">
        <f t="shared" si="26"/>
        <v>0</v>
      </c>
      <c r="BM113" s="78">
        <f t="shared" si="27"/>
        <v>0</v>
      </c>
      <c r="BN113" s="78">
        <f t="shared" si="28"/>
        <v>0</v>
      </c>
    </row>
    <row r="114" spans="1:66" x14ac:dyDescent="0.2">
      <c r="A114" s="81" t="s">
        <v>406</v>
      </c>
      <c r="C114" s="87">
        <f t="shared" si="11"/>
        <v>26</v>
      </c>
      <c r="J114" s="78">
        <f>J32/(J80*8760)</f>
        <v>0.59229473702440127</v>
      </c>
      <c r="N114" s="77" t="s">
        <v>1819</v>
      </c>
      <c r="O114" s="78">
        <f>W32/(O80*8.76)*1000</f>
        <v>0.33923410885870708</v>
      </c>
      <c r="R114" s="78">
        <f t="shared" si="14"/>
        <v>0.87390000000000001</v>
      </c>
      <c r="S114" s="78">
        <f t="shared" si="14"/>
        <v>0.87390000000000001</v>
      </c>
      <c r="T114" s="78">
        <f t="shared" si="14"/>
        <v>0.87390000000000001</v>
      </c>
      <c r="U114" s="78">
        <f t="shared" si="14"/>
        <v>0</v>
      </c>
      <c r="V114" s="78">
        <f t="shared" si="14"/>
        <v>0</v>
      </c>
      <c r="W114" s="78">
        <f t="shared" si="32"/>
        <v>0</v>
      </c>
      <c r="X114" s="78">
        <f t="shared" si="16"/>
        <v>0</v>
      </c>
      <c r="Y114" s="78">
        <f t="shared" si="16"/>
        <v>0</v>
      </c>
      <c r="Z114" s="78">
        <f t="shared" si="16"/>
        <v>0</v>
      </c>
      <c r="AA114" s="78">
        <f t="shared" si="16"/>
        <v>0</v>
      </c>
      <c r="AB114" s="78">
        <f t="shared" si="16"/>
        <v>0</v>
      </c>
      <c r="AC114" s="78">
        <f t="shared" si="16"/>
        <v>0</v>
      </c>
      <c r="AD114" s="78" cm="1">
        <f t="array" ref="AD114">INDEX(AD$143:AD$173,$C114)</f>
        <v>0.87390000000000001</v>
      </c>
      <c r="AE114" s="78" cm="1">
        <f t="array" ref="AE114">INDEX(AE$143:AE$173,$C114)</f>
        <v>0.87390000000000001</v>
      </c>
      <c r="AF114" s="78" cm="1">
        <f t="array" ref="AF114">INDEX(AF$143:AF$173,$C114)</f>
        <v>0.87390000000000001</v>
      </c>
      <c r="AG114" s="78" cm="1">
        <f t="array" ref="AG114">INDEX(AG$143:AG$173,$C114)</f>
        <v>0</v>
      </c>
      <c r="AH114" s="78" cm="1">
        <f t="array" ref="AH114">INDEX(AH$143:AH$173,$C114)</f>
        <v>0</v>
      </c>
      <c r="AI114" s="78" cm="1">
        <f t="array" ref="AI114">INDEX(AI$143:AI$173,$C114)</f>
        <v>0</v>
      </c>
      <c r="AJ114" s="78" cm="1">
        <f t="array" ref="AJ114">INDEX(AJ$143:AJ$173,$C114)</f>
        <v>0</v>
      </c>
      <c r="AK114" s="78" cm="1">
        <f t="array" ref="AK114">INDEX(AK$143:AK$173,$C114)</f>
        <v>0</v>
      </c>
      <c r="AL114" s="78" cm="1">
        <f t="array" ref="AL114">INDEX(AL$143:AL$173,$C114)</f>
        <v>0</v>
      </c>
      <c r="AM114" s="78" cm="1">
        <f t="array" ref="AM114">INDEX(AM$143:AM$173,$C114)</f>
        <v>0</v>
      </c>
      <c r="AN114" s="78" cm="1">
        <f t="array" ref="AN114">INDEX(AN$143:AN$173,$C114)</f>
        <v>0</v>
      </c>
      <c r="AO114" s="78" cm="1">
        <f t="array" ref="AO114">INDEX(AO$143:AO$173,$C114)</f>
        <v>0</v>
      </c>
      <c r="AP114" s="513" t="s">
        <v>1819</v>
      </c>
      <c r="AQ114" s="523">
        <f t="shared" si="17"/>
        <v>0.98</v>
      </c>
      <c r="AR114" s="523">
        <f t="shared" si="17"/>
        <v>0.78</v>
      </c>
      <c r="AS114" s="523">
        <f t="shared" si="17"/>
        <v>0.71</v>
      </c>
      <c r="AT114" s="523">
        <f t="shared" si="17"/>
        <v>0.56000000000000005</v>
      </c>
      <c r="AU114" s="523">
        <f t="shared" si="17"/>
        <v>0.45</v>
      </c>
      <c r="AV114" s="523">
        <f t="shared" si="17"/>
        <v>0.39</v>
      </c>
      <c r="AW114" s="523">
        <f t="shared" si="17"/>
        <v>0.33</v>
      </c>
      <c r="AX114" s="523">
        <f t="shared" si="17"/>
        <v>0.35</v>
      </c>
      <c r="AY114" s="523">
        <f t="shared" si="17"/>
        <v>0.33</v>
      </c>
      <c r="AZ114" s="523">
        <f t="shared" si="17"/>
        <v>0.32</v>
      </c>
      <c r="BA114" s="523">
        <f t="shared" si="17"/>
        <v>0.25</v>
      </c>
      <c r="BB114" s="512">
        <f t="shared" si="30"/>
        <v>0.25</v>
      </c>
      <c r="BC114" s="78">
        <f t="shared" si="31"/>
        <v>0.85642200000000002</v>
      </c>
      <c r="BD114" s="78">
        <f t="shared" si="18"/>
        <v>0.68164200000000008</v>
      </c>
      <c r="BE114" s="78">
        <f t="shared" si="19"/>
        <v>0.62046899999999994</v>
      </c>
      <c r="BF114" s="78">
        <f t="shared" si="20"/>
        <v>0</v>
      </c>
      <c r="BG114" s="78">
        <f t="shared" si="21"/>
        <v>0</v>
      </c>
      <c r="BH114" s="78">
        <f t="shared" si="22"/>
        <v>0</v>
      </c>
      <c r="BI114" s="78">
        <f t="shared" si="23"/>
        <v>0</v>
      </c>
      <c r="BJ114" s="78">
        <f t="shared" si="24"/>
        <v>0</v>
      </c>
      <c r="BK114" s="78">
        <f t="shared" si="25"/>
        <v>0</v>
      </c>
      <c r="BL114" s="78">
        <f t="shared" si="26"/>
        <v>0</v>
      </c>
      <c r="BM114" s="78">
        <f t="shared" si="27"/>
        <v>0</v>
      </c>
      <c r="BN114" s="78">
        <f t="shared" si="28"/>
        <v>0</v>
      </c>
    </row>
    <row r="115" spans="1:66" s="343" customFormat="1" x14ac:dyDescent="0.2">
      <c r="A115" s="343" t="s">
        <v>1815</v>
      </c>
      <c r="J115" s="86">
        <f>SUMPRODUCT(J66:J80,J100:J114)/SUM(J66:J80)</f>
        <v>0.68847841841118862</v>
      </c>
      <c r="O115" s="86">
        <f>SUMPRODUCT(O66:O80,O100:O114)/SUM(O66:O80)</f>
        <v>0.60188200858590912</v>
      </c>
      <c r="R115" s="86">
        <f>SUMPRODUCT(R66:R80,R100:R114)/SUM(R66:R80)</f>
        <v>0.67731835079152536</v>
      </c>
      <c r="S115" s="86">
        <f t="shared" ref="S115:AA115" si="33">SUMPRODUCT(S66:S80,S100:S114)/SUM(S66:S80)</f>
        <v>0.68846430393135438</v>
      </c>
      <c r="T115" s="86">
        <f t="shared" si="33"/>
        <v>0.70459744190170792</v>
      </c>
      <c r="U115" s="86">
        <f t="shared" si="33"/>
        <v>0.6917822882103557</v>
      </c>
      <c r="V115" s="86">
        <f t="shared" si="33"/>
        <v>0.70061798729182367</v>
      </c>
      <c r="W115" s="86">
        <f t="shared" si="33"/>
        <v>0.71443348206611512</v>
      </c>
      <c r="X115" s="86">
        <f t="shared" si="33"/>
        <v>0.71446020616847228</v>
      </c>
      <c r="Y115" s="86">
        <f t="shared" si="33"/>
        <v>0.71595735442127961</v>
      </c>
      <c r="Z115" s="86">
        <f t="shared" si="33"/>
        <v>0.71981653474054519</v>
      </c>
      <c r="AA115" s="86">
        <f t="shared" si="33"/>
        <v>0.72559104146100695</v>
      </c>
      <c r="AB115" s="86">
        <f>SUMPRODUCT(AB66:AB80,AB100:AB114)/SUM(AB66:AB80)</f>
        <v>0.7384547925043079</v>
      </c>
      <c r="AC115" s="86">
        <f>SUMPRODUCT(AC66:AC80,AC100:AC114)/SUM(AC66:AC80)</f>
        <v>0.73596474949449575</v>
      </c>
      <c r="AD115" s="86">
        <f t="shared" ref="AD115:AO115" si="34">SUMPRODUCT(R66:R80,AD100:AD114)/SUM(R66:R80)</f>
        <v>0.67731835079152536</v>
      </c>
      <c r="AE115" s="86">
        <f t="shared" si="34"/>
        <v>0.68846430393135438</v>
      </c>
      <c r="AF115" s="86">
        <f t="shared" si="34"/>
        <v>0.70459744190170792</v>
      </c>
      <c r="AG115" s="86">
        <f t="shared" si="34"/>
        <v>0.6917822882103557</v>
      </c>
      <c r="AH115" s="86">
        <f t="shared" si="34"/>
        <v>0.70061798729182367</v>
      </c>
      <c r="AI115" s="86">
        <f t="shared" si="34"/>
        <v>0.71443348206611512</v>
      </c>
      <c r="AJ115" s="86">
        <f t="shared" si="34"/>
        <v>0.71446020616847228</v>
      </c>
      <c r="AK115" s="86">
        <f t="shared" si="34"/>
        <v>0.71595735442127961</v>
      </c>
      <c r="AL115" s="86">
        <f t="shared" si="34"/>
        <v>0.71981653474054519</v>
      </c>
      <c r="AM115" s="86">
        <f t="shared" si="34"/>
        <v>0.72559104146100695</v>
      </c>
      <c r="AN115" s="86">
        <f t="shared" si="34"/>
        <v>0.7384547925043079</v>
      </c>
      <c r="AO115" s="86">
        <f t="shared" si="34"/>
        <v>0.73596474949449575</v>
      </c>
      <c r="AP115" s="86"/>
      <c r="AQ115" s="86"/>
      <c r="AR115" s="86"/>
      <c r="AS115" s="86"/>
      <c r="AT115" s="86"/>
      <c r="AU115" s="86"/>
      <c r="AV115" s="86"/>
      <c r="AW115" s="86"/>
      <c r="AX115" s="86"/>
      <c r="AY115" s="86"/>
      <c r="AZ115" s="86"/>
      <c r="BA115" s="86"/>
      <c r="BC115" s="86">
        <f t="shared" ref="BC115:BN115" si="35">SUMPRODUCT(R66:R80,BC100:BC114)/SUM(R66:R80)</f>
        <v>0.6675197982988107</v>
      </c>
      <c r="BD115" s="86">
        <f t="shared" si="35"/>
        <v>0.5814773113695394</v>
      </c>
      <c r="BE115" s="86">
        <f t="shared" si="35"/>
        <v>0.56012442912207427</v>
      </c>
      <c r="BF115" s="86">
        <f t="shared" si="35"/>
        <v>0.48078316700656837</v>
      </c>
      <c r="BG115" s="86">
        <f t="shared" si="35"/>
        <v>0.43339395039676776</v>
      </c>
      <c r="BH115" s="86">
        <f t="shared" si="35"/>
        <v>0.41462314379246179</v>
      </c>
      <c r="BI115" s="86">
        <f t="shared" si="35"/>
        <v>0.39193856917422065</v>
      </c>
      <c r="BJ115" s="86">
        <f t="shared" si="35"/>
        <v>0.40784712918763477</v>
      </c>
      <c r="BK115" s="86">
        <f t="shared" si="35"/>
        <v>0.40468696889475225</v>
      </c>
      <c r="BL115" s="86">
        <f t="shared" si="35"/>
        <v>0.40822848500740377</v>
      </c>
      <c r="BM115" s="86">
        <f t="shared" si="35"/>
        <v>0.40309280137133829</v>
      </c>
      <c r="BN115" s="86">
        <f t="shared" si="35"/>
        <v>0.39939030554931476</v>
      </c>
    </row>
    <row r="116" spans="1:66" ht="15" x14ac:dyDescent="0.25">
      <c r="Q116" s="77" t="s">
        <v>512</v>
      </c>
      <c r="R116" s="338"/>
      <c r="S116" s="44"/>
      <c r="T116" s="44"/>
      <c r="U116" s="44"/>
      <c r="V116" s="44"/>
      <c r="W116" s="44"/>
      <c r="X116" s="44"/>
      <c r="Y116" s="44"/>
      <c r="Z116" s="44"/>
      <c r="AA116" s="44"/>
      <c r="AB116" s="85"/>
      <c r="AC116" s="85"/>
      <c r="BC116" s="338"/>
      <c r="BD116" s="44"/>
      <c r="BE116" s="44"/>
      <c r="BF116" s="44"/>
      <c r="BG116" s="44"/>
      <c r="BH116" s="44"/>
      <c r="BI116" s="44"/>
      <c r="BJ116" s="44"/>
      <c r="BK116" s="44"/>
      <c r="BL116" s="44"/>
      <c r="BM116" s="85"/>
      <c r="BN116" s="85"/>
    </row>
    <row r="117" spans="1:66" x14ac:dyDescent="0.2">
      <c r="A117" s="81" t="str">
        <f t="shared" ref="A117:A129" si="36">A47</f>
        <v>Koeberg</v>
      </c>
      <c r="B117" s="77" t="str">
        <f>ProcDataGenPre2012!$C$29</f>
        <v>Nuclear Existing</v>
      </c>
      <c r="C117" s="87">
        <f>MATCH(A117,$AC$143:$AC$174,0)</f>
        <v>11</v>
      </c>
      <c r="R117" s="78">
        <f t="shared" ref="R117:AC118" si="37">AD117</f>
        <v>0.84160000000000001</v>
      </c>
      <c r="S117" s="78">
        <f t="shared" si="37"/>
        <v>0.82959999999999989</v>
      </c>
      <c r="T117" s="78">
        <f t="shared" si="37"/>
        <v>0.70319999999999994</v>
      </c>
      <c r="U117" s="78">
        <f t="shared" si="37"/>
        <v>0.90079999999999993</v>
      </c>
      <c r="V117" s="78">
        <f t="shared" si="37"/>
        <v>0.86459999999999992</v>
      </c>
      <c r="W117" s="78">
        <f t="shared" si="37"/>
        <v>0.74930000000000008</v>
      </c>
      <c r="X117" s="78">
        <f t="shared" si="37"/>
        <v>0.90040000000000009</v>
      </c>
      <c r="Y117" s="78">
        <f t="shared" si="37"/>
        <v>0.89500000000000002</v>
      </c>
      <c r="Z117" s="78">
        <f t="shared" si="37"/>
        <v>0.92110000000000003</v>
      </c>
      <c r="AA117" s="78">
        <f t="shared" si="37"/>
        <v>0.84499999999999997</v>
      </c>
      <c r="AB117" s="78">
        <f t="shared" si="37"/>
        <v>0.84540000000000004</v>
      </c>
      <c r="AC117" s="78">
        <f t="shared" si="37"/>
        <v>0.84719999999999995</v>
      </c>
      <c r="AD117" s="78" cm="1">
        <f t="array" ref="AD117">INDEX(AD$143:AD$183,$C117)</f>
        <v>0.84160000000000001</v>
      </c>
      <c r="AE117" s="78" cm="1">
        <f t="array" ref="AE117">INDEX(AE$143:AE$183,$C117)</f>
        <v>0.82959999999999989</v>
      </c>
      <c r="AF117" s="78" cm="1">
        <f t="array" ref="AF117">INDEX(AF$143:AF$183,$C117)</f>
        <v>0.70319999999999994</v>
      </c>
      <c r="AG117" s="78" cm="1">
        <f t="array" ref="AG117">INDEX(AG$143:AG$183,$C117)</f>
        <v>0.90079999999999993</v>
      </c>
      <c r="AH117" s="78" cm="1">
        <f t="array" ref="AH117">INDEX(AH$143:AH$183,$C117)</f>
        <v>0.86459999999999992</v>
      </c>
      <c r="AI117" s="78" cm="1">
        <f t="array" ref="AI117">INDEX(AI$143:AI$183,$C117)</f>
        <v>0.74930000000000008</v>
      </c>
      <c r="AJ117" s="78" cm="1">
        <f t="array" ref="AJ117">INDEX(AJ$143:AJ$183,$C117)</f>
        <v>0.90040000000000009</v>
      </c>
      <c r="AK117" s="78" cm="1">
        <f t="array" ref="AK117">INDEX(AK$143:AK$183,$C117)</f>
        <v>0.89500000000000002</v>
      </c>
      <c r="AL117" s="78" cm="1">
        <f t="array" ref="AL117">INDEX(AL$143:AL$183,$C117)</f>
        <v>0.92110000000000003</v>
      </c>
      <c r="AM117" s="78" cm="1">
        <f t="array" ref="AM117">INDEX(AM$143:AM$183,$C117)</f>
        <v>0.84499999999999997</v>
      </c>
      <c r="AN117" s="78" cm="1">
        <f t="array" ref="AN117">INDEX(AN$143:AN$183,$C117)</f>
        <v>0.84540000000000004</v>
      </c>
      <c r="AO117" s="78" cm="1">
        <f t="array" ref="AO117">INDEX(AO$143:AO$183,$C117)</f>
        <v>0.84719999999999995</v>
      </c>
      <c r="AP117" s="78"/>
      <c r="AQ117" s="78"/>
      <c r="AR117" s="78"/>
      <c r="AS117" s="78"/>
      <c r="AT117" s="78"/>
      <c r="AU117" s="78"/>
      <c r="AV117" s="78"/>
      <c r="AW117" s="78"/>
      <c r="AX117" s="78"/>
      <c r="AY117" s="78"/>
      <c r="AZ117" s="78"/>
      <c r="BA117" s="78"/>
      <c r="BC117" s="78">
        <f t="shared" ref="BC117:BN118" si="38">AD117</f>
        <v>0.84160000000000001</v>
      </c>
      <c r="BD117" s="78">
        <f t="shared" si="38"/>
        <v>0.82959999999999989</v>
      </c>
      <c r="BE117" s="78">
        <f t="shared" si="38"/>
        <v>0.70319999999999994</v>
      </c>
      <c r="BF117" s="78">
        <f t="shared" si="38"/>
        <v>0.90079999999999993</v>
      </c>
      <c r="BG117" s="78">
        <f t="shared" si="38"/>
        <v>0.86459999999999992</v>
      </c>
      <c r="BH117" s="78">
        <f t="shared" si="38"/>
        <v>0.74930000000000008</v>
      </c>
      <c r="BI117" s="78">
        <f t="shared" si="38"/>
        <v>0.90040000000000009</v>
      </c>
      <c r="BJ117" s="78">
        <f t="shared" si="38"/>
        <v>0.89500000000000002</v>
      </c>
      <c r="BK117" s="78">
        <f t="shared" si="38"/>
        <v>0.92110000000000003</v>
      </c>
      <c r="BL117" s="78">
        <f t="shared" si="38"/>
        <v>0.84499999999999997</v>
      </c>
      <c r="BM117" s="78">
        <f t="shared" si="38"/>
        <v>0.84540000000000004</v>
      </c>
      <c r="BN117" s="78">
        <f t="shared" si="38"/>
        <v>0.84719999999999995</v>
      </c>
    </row>
    <row r="118" spans="1:66" x14ac:dyDescent="0.2">
      <c r="A118" s="81" t="str">
        <f t="shared" si="36"/>
        <v>Acacia</v>
      </c>
      <c r="B118" s="77" t="str">
        <f>ProcDataGenPre2012!$C$26</f>
        <v>OCGT liquid fuels Existing</v>
      </c>
      <c r="C118" s="87">
        <f>MATCH(B118,$AC$143:$AC$184,0)</f>
        <v>33</v>
      </c>
      <c r="R118" s="78">
        <f t="shared" si="37"/>
        <v>0.97424737499999992</v>
      </c>
      <c r="S118" s="78">
        <f t="shared" si="37"/>
        <v>0.943659625</v>
      </c>
      <c r="T118" s="78">
        <f t="shared" si="37"/>
        <v>0.96469287500000012</v>
      </c>
      <c r="U118" s="78">
        <f t="shared" si="37"/>
        <v>0.96816975000000016</v>
      </c>
      <c r="V118" s="78">
        <f t="shared" si="37"/>
        <v>0.97311012500000005</v>
      </c>
      <c r="W118" s="78">
        <f t="shared" si="37"/>
        <v>0.94247024999999984</v>
      </c>
      <c r="X118" s="78">
        <f t="shared" si="37"/>
        <v>0.90641312500000004</v>
      </c>
      <c r="Y118" s="78">
        <f t="shared" si="37"/>
        <v>0.8390821249999999</v>
      </c>
      <c r="Z118" s="78">
        <f t="shared" si="37"/>
        <v>0.82816737499999993</v>
      </c>
      <c r="AA118" s="78">
        <f t="shared" si="37"/>
        <v>0.820682625</v>
      </c>
      <c r="AB118" s="78">
        <f t="shared" si="37"/>
        <v>0.81912687500000003</v>
      </c>
      <c r="AC118" s="78">
        <f t="shared" si="37"/>
        <v>0.82047437499999998</v>
      </c>
      <c r="AD118" s="78" cm="1">
        <f t="array" ref="AD118">INDEX(AD$143:AD$183,$C118)</f>
        <v>0.97424737499999992</v>
      </c>
      <c r="AE118" s="78" cm="1">
        <f t="array" ref="AE118">INDEX(AE$143:AE$183,$C118)</f>
        <v>0.943659625</v>
      </c>
      <c r="AF118" s="78" cm="1">
        <f t="array" ref="AF118">INDEX(AF$143:AF$183,$C118)</f>
        <v>0.96469287500000012</v>
      </c>
      <c r="AG118" s="78" cm="1">
        <f t="array" ref="AG118">INDEX(AG$143:AG$183,$C118)</f>
        <v>0.96816975000000016</v>
      </c>
      <c r="AH118" s="78" cm="1">
        <f t="array" ref="AH118">INDEX(AH$143:AH$183,$C118)</f>
        <v>0.97311012500000005</v>
      </c>
      <c r="AI118" s="78" cm="1">
        <f t="array" ref="AI118">INDEX(AI$143:AI$183,$C118)</f>
        <v>0.94247024999999984</v>
      </c>
      <c r="AJ118" s="78" cm="1">
        <f t="array" ref="AJ118">INDEX(AJ$143:AJ$183,$C118)</f>
        <v>0.90641312500000004</v>
      </c>
      <c r="AK118" s="78" cm="1">
        <f t="array" ref="AK118">INDEX(AK$143:AK$183,$C118)</f>
        <v>0.8390821249999999</v>
      </c>
      <c r="AL118" s="78" cm="1">
        <f t="array" ref="AL118">INDEX(AL$143:AL$183,$C118)</f>
        <v>0.82816737499999993</v>
      </c>
      <c r="AM118" s="78" cm="1">
        <f t="array" ref="AM118">INDEX(AM$143:AM$183,$C118)</f>
        <v>0.820682625</v>
      </c>
      <c r="AN118" s="78" cm="1">
        <f t="array" ref="AN118">INDEX(AN$143:AN$183,$C118)</f>
        <v>0.81912687500000003</v>
      </c>
      <c r="AO118" s="78" cm="1">
        <f t="array" ref="AO118">INDEX(AO$143:AO$183,$C118)</f>
        <v>0.82047437499999998</v>
      </c>
      <c r="AP118" s="78"/>
      <c r="AQ118" s="78"/>
      <c r="AR118" s="78"/>
      <c r="AS118" s="78"/>
      <c r="AT118" s="78"/>
      <c r="AU118" s="78"/>
      <c r="AV118" s="78"/>
      <c r="AW118" s="78"/>
      <c r="AX118" s="78"/>
      <c r="AY118" s="78"/>
      <c r="AZ118" s="78"/>
      <c r="BA118" s="78"/>
      <c r="BC118" s="78">
        <f t="shared" si="38"/>
        <v>0.97424737499999992</v>
      </c>
      <c r="BD118" s="78">
        <f t="shared" si="38"/>
        <v>0.943659625</v>
      </c>
      <c r="BE118" s="78">
        <f t="shared" si="38"/>
        <v>0.96469287500000012</v>
      </c>
      <c r="BF118" s="78">
        <f t="shared" si="38"/>
        <v>0.96816975000000016</v>
      </c>
      <c r="BG118" s="78">
        <f t="shared" si="38"/>
        <v>0.97311012500000005</v>
      </c>
      <c r="BH118" s="78">
        <f t="shared" si="38"/>
        <v>0.94247024999999984</v>
      </c>
      <c r="BI118" s="78">
        <f t="shared" si="38"/>
        <v>0.90641312500000004</v>
      </c>
      <c r="BJ118" s="78">
        <f t="shared" si="38"/>
        <v>0.8390821249999999</v>
      </c>
      <c r="BK118" s="78">
        <f t="shared" si="38"/>
        <v>0.82816737499999993</v>
      </c>
      <c r="BL118" s="78">
        <f t="shared" si="38"/>
        <v>0.820682625</v>
      </c>
      <c r="BM118" s="78">
        <f t="shared" si="38"/>
        <v>0.81912687500000003</v>
      </c>
      <c r="BN118" s="78">
        <f t="shared" si="38"/>
        <v>0.82047437499999998</v>
      </c>
    </row>
    <row r="119" spans="1:66" x14ac:dyDescent="0.2">
      <c r="A119" s="81" t="str">
        <f t="shared" si="36"/>
        <v>Ankerlig</v>
      </c>
    </row>
    <row r="120" spans="1:66" x14ac:dyDescent="0.2">
      <c r="A120" s="81" t="str">
        <f t="shared" si="36"/>
        <v>Gourikwa</v>
      </c>
    </row>
    <row r="121" spans="1:66" x14ac:dyDescent="0.2">
      <c r="A121" s="81" t="str">
        <f t="shared" si="36"/>
        <v>Port Rex</v>
      </c>
    </row>
    <row r="122" spans="1:66" x14ac:dyDescent="0.2">
      <c r="A122" s="81" t="str">
        <f t="shared" si="36"/>
        <v>Colley Wobbles</v>
      </c>
      <c r="B122" s="77" t="str">
        <f>ProcDataGenPre2012!$C$27</f>
        <v>Hydro Existing South Africa</v>
      </c>
      <c r="C122" s="87">
        <f>MATCH(B122,$AC$143:$AC$184,0)</f>
        <v>34</v>
      </c>
      <c r="R122" s="78">
        <f t="shared" ref="R122:AC122" si="39">AD122</f>
        <v>0.94730000000000003</v>
      </c>
      <c r="S122" s="78">
        <f t="shared" si="39"/>
        <v>0.98870000000000002</v>
      </c>
      <c r="T122" s="78">
        <f t="shared" si="39"/>
        <v>0.88950000000000007</v>
      </c>
      <c r="U122" s="78">
        <f t="shared" si="39"/>
        <v>0.84439999999999993</v>
      </c>
      <c r="V122" s="78">
        <f t="shared" si="39"/>
        <v>0.98849999999999993</v>
      </c>
      <c r="W122" s="78">
        <f t="shared" si="39"/>
        <v>0.97609999999999997</v>
      </c>
      <c r="X122" s="78">
        <f t="shared" si="39"/>
        <v>0.98450000000000004</v>
      </c>
      <c r="Y122" s="78">
        <f t="shared" si="39"/>
        <v>0.97909999999999997</v>
      </c>
      <c r="Z122" s="78">
        <f t="shared" si="39"/>
        <v>0.95730000000000004</v>
      </c>
      <c r="AA122" s="78">
        <f t="shared" si="39"/>
        <v>0.95050000000000001</v>
      </c>
      <c r="AB122" s="78">
        <f t="shared" si="39"/>
        <v>0.95090000000000008</v>
      </c>
      <c r="AC122" s="78">
        <f t="shared" si="39"/>
        <v>0.94669999999999999</v>
      </c>
      <c r="AD122" s="78" cm="1">
        <f t="array" ref="AD122">INDEX(AD$143:AD$183,$C122)</f>
        <v>0.94730000000000003</v>
      </c>
      <c r="AE122" s="78" cm="1">
        <f t="array" ref="AE122">INDEX(AE$143:AE$183,$C122)</f>
        <v>0.98870000000000002</v>
      </c>
      <c r="AF122" s="78" cm="1">
        <f t="array" ref="AF122">INDEX(AF$143:AF$183,$C122)</f>
        <v>0.88950000000000007</v>
      </c>
      <c r="AG122" s="78" cm="1">
        <f t="array" ref="AG122">INDEX(AG$143:AG$183,$C122)</f>
        <v>0.84439999999999993</v>
      </c>
      <c r="AH122" s="78" cm="1">
        <f t="array" ref="AH122">INDEX(AH$143:AH$183,$C122)</f>
        <v>0.98849999999999993</v>
      </c>
      <c r="AI122" s="78" cm="1">
        <f t="array" ref="AI122">INDEX(AI$143:AI$183,$C122)</f>
        <v>0.97609999999999997</v>
      </c>
      <c r="AJ122" s="78" cm="1">
        <f t="array" ref="AJ122">INDEX(AJ$143:AJ$183,$C122)</f>
        <v>0.98450000000000004</v>
      </c>
      <c r="AK122" s="78" cm="1">
        <f t="array" ref="AK122">INDEX(AK$143:AK$183,$C122)</f>
        <v>0.97909999999999997</v>
      </c>
      <c r="AL122" s="78" cm="1">
        <f t="array" ref="AL122">INDEX(AL$143:AL$183,$C122)</f>
        <v>0.95730000000000004</v>
      </c>
      <c r="AM122" s="78" cm="1">
        <f t="array" ref="AM122">INDEX(AM$143:AM$183,$C122)</f>
        <v>0.95050000000000001</v>
      </c>
      <c r="AN122" s="78" cm="1">
        <f t="array" ref="AN122">INDEX(AN$143:AN$183,$C122)</f>
        <v>0.95090000000000008</v>
      </c>
      <c r="AO122" s="78" cm="1">
        <f t="array" ref="AO122">INDEX(AO$143:AO$183,$C122)</f>
        <v>0.94669999999999999</v>
      </c>
      <c r="AP122" s="78"/>
      <c r="AQ122" s="78"/>
      <c r="AR122" s="78"/>
      <c r="AS122" s="78"/>
      <c r="AT122" s="78"/>
      <c r="AU122" s="78"/>
      <c r="AV122" s="78"/>
      <c r="AW122" s="78"/>
      <c r="AX122" s="78"/>
      <c r="AY122" s="78"/>
      <c r="AZ122" s="78"/>
      <c r="BA122" s="78"/>
      <c r="BB122" s="78"/>
      <c r="BC122" s="78">
        <f t="shared" ref="BC122:BN122" si="40">AD122</f>
        <v>0.94730000000000003</v>
      </c>
      <c r="BD122" s="78">
        <f t="shared" si="40"/>
        <v>0.98870000000000002</v>
      </c>
      <c r="BE122" s="78">
        <f t="shared" si="40"/>
        <v>0.88950000000000007</v>
      </c>
      <c r="BF122" s="78">
        <f t="shared" si="40"/>
        <v>0.84439999999999993</v>
      </c>
      <c r="BG122" s="78">
        <f t="shared" si="40"/>
        <v>0.98849999999999993</v>
      </c>
      <c r="BH122" s="78">
        <f t="shared" si="40"/>
        <v>0.97609999999999997</v>
      </c>
      <c r="BI122" s="78">
        <f t="shared" si="40"/>
        <v>0.98450000000000004</v>
      </c>
      <c r="BJ122" s="78">
        <f t="shared" si="40"/>
        <v>0.97909999999999997</v>
      </c>
      <c r="BK122" s="78">
        <f t="shared" si="40"/>
        <v>0.95730000000000004</v>
      </c>
      <c r="BL122" s="78">
        <f t="shared" si="40"/>
        <v>0.95050000000000001</v>
      </c>
      <c r="BM122" s="78">
        <f t="shared" si="40"/>
        <v>0.95090000000000008</v>
      </c>
      <c r="BN122" s="78">
        <f t="shared" si="40"/>
        <v>0.94669999999999999</v>
      </c>
    </row>
    <row r="123" spans="1:66" x14ac:dyDescent="0.2">
      <c r="A123" s="81" t="str">
        <f t="shared" si="36"/>
        <v>First Falls</v>
      </c>
    </row>
    <row r="124" spans="1:66" x14ac:dyDescent="0.2">
      <c r="A124" s="81" t="str">
        <f t="shared" si="36"/>
        <v>Gariep</v>
      </c>
      <c r="AD124" s="78"/>
      <c r="AE124" s="78"/>
      <c r="AF124" s="78"/>
      <c r="AG124" s="78"/>
      <c r="AH124" s="78"/>
      <c r="AI124" s="78"/>
      <c r="AJ124" s="78"/>
      <c r="AK124" s="78"/>
      <c r="AL124" s="78"/>
      <c r="AM124" s="78"/>
      <c r="AN124" s="78"/>
      <c r="AO124" s="78"/>
      <c r="AP124" s="78"/>
      <c r="AQ124" s="78"/>
      <c r="AR124" s="78"/>
      <c r="AS124" s="78"/>
      <c r="AT124" s="78"/>
      <c r="AU124" s="78"/>
      <c r="AV124" s="78"/>
      <c r="AW124" s="78"/>
      <c r="AX124" s="78"/>
      <c r="AY124" s="78"/>
      <c r="AZ124" s="78"/>
      <c r="BA124" s="78"/>
      <c r="BB124" s="78"/>
    </row>
    <row r="125" spans="1:66" x14ac:dyDescent="0.2">
      <c r="A125" s="81" t="str">
        <f t="shared" si="36"/>
        <v>Ncora</v>
      </c>
    </row>
    <row r="126" spans="1:66" x14ac:dyDescent="0.2">
      <c r="A126" s="81" t="str">
        <f t="shared" si="36"/>
        <v>Second Falls</v>
      </c>
    </row>
    <row r="127" spans="1:66" x14ac:dyDescent="0.2">
      <c r="A127" s="81" t="str">
        <f t="shared" si="36"/>
        <v>Van Der Kloof</v>
      </c>
    </row>
    <row r="128" spans="1:66" x14ac:dyDescent="0.2">
      <c r="A128" s="81" t="str">
        <f t="shared" si="36"/>
        <v>Drakensberg</v>
      </c>
      <c r="B128" s="77" t="str">
        <f>ProcDataGenPre2012!$C$30</f>
        <v>Pump Storage All Existing - Single Storage Tech</v>
      </c>
      <c r="C128" s="87">
        <f>MATCH(B128,$AC$143:$AC$184,0)</f>
        <v>35</v>
      </c>
      <c r="R128" s="78">
        <f t="shared" ref="R128:AC128" si="41">AD128</f>
        <v>0.78414285714285714</v>
      </c>
      <c r="S128" s="78">
        <f t="shared" si="41"/>
        <v>0.8875142857142857</v>
      </c>
      <c r="T128" s="78">
        <f t="shared" si="41"/>
        <v>0.85050000000000003</v>
      </c>
      <c r="U128" s="78">
        <f t="shared" si="41"/>
        <v>0.90175714285714292</v>
      </c>
      <c r="V128" s="78">
        <f t="shared" si="41"/>
        <v>0.92549999999999999</v>
      </c>
      <c r="W128" s="78">
        <f t="shared" si="41"/>
        <v>0.84848571428571418</v>
      </c>
      <c r="X128" s="78">
        <f t="shared" si="41"/>
        <v>0.92071428571428571</v>
      </c>
      <c r="Y128" s="78">
        <f t="shared" si="41"/>
        <v>0.87885714285714289</v>
      </c>
      <c r="Z128" s="78">
        <f t="shared" si="41"/>
        <v>0.88021428571428573</v>
      </c>
      <c r="AA128" s="78">
        <f t="shared" si="41"/>
        <v>0.87538571428571421</v>
      </c>
      <c r="AB128" s="78">
        <f t="shared" si="41"/>
        <v>0.88564285714285718</v>
      </c>
      <c r="AC128" s="78">
        <f t="shared" si="41"/>
        <v>0.88481428571428578</v>
      </c>
      <c r="AD128" s="78" cm="1">
        <f t="array" ref="AD128">INDEX(AD$143:AD$183,$C128)</f>
        <v>0.78414285714285714</v>
      </c>
      <c r="AE128" s="78" cm="1">
        <f t="array" ref="AE128">INDEX(AE$143:AE$183,$C128)</f>
        <v>0.8875142857142857</v>
      </c>
      <c r="AF128" s="78" cm="1">
        <f t="array" ref="AF128">INDEX(AF$143:AF$183,$C128)</f>
        <v>0.85050000000000003</v>
      </c>
      <c r="AG128" s="78" cm="1">
        <f t="array" ref="AG128">INDEX(AG$143:AG$183,$C128)</f>
        <v>0.90175714285714292</v>
      </c>
      <c r="AH128" s="78" cm="1">
        <f t="array" ref="AH128">INDEX(AH$143:AH$183,$C128)</f>
        <v>0.92549999999999999</v>
      </c>
      <c r="AI128" s="78" cm="1">
        <f t="array" ref="AI128">INDEX(AI$143:AI$183,$C128)</f>
        <v>0.84848571428571418</v>
      </c>
      <c r="AJ128" s="78" cm="1">
        <f t="array" ref="AJ128">INDEX(AJ$143:AJ$183,$C128)</f>
        <v>0.92071428571428571</v>
      </c>
      <c r="AK128" s="78" cm="1">
        <f t="array" ref="AK128">INDEX(AK$143:AK$183,$C128)</f>
        <v>0.87885714285714289</v>
      </c>
      <c r="AL128" s="78" cm="1">
        <f t="array" ref="AL128">INDEX(AL$143:AL$183,$C128)</f>
        <v>0.88021428571428573</v>
      </c>
      <c r="AM128" s="78" cm="1">
        <f t="array" ref="AM128">INDEX(AM$143:AM$183,$C128)</f>
        <v>0.87538571428571421</v>
      </c>
      <c r="AN128" s="78" cm="1">
        <f t="array" ref="AN128">INDEX(AN$143:AN$183,$C128)</f>
        <v>0.88564285714285718</v>
      </c>
      <c r="AO128" s="78" cm="1">
        <f t="array" ref="AO128">INDEX(AO$143:AO$183,$C128)</f>
        <v>0.88481428571428578</v>
      </c>
      <c r="AP128" s="78"/>
      <c r="AQ128" s="78"/>
      <c r="AR128" s="78"/>
      <c r="AS128" s="78"/>
      <c r="AT128" s="78"/>
      <c r="AU128" s="78"/>
      <c r="AV128" s="78"/>
      <c r="AW128" s="78"/>
      <c r="AX128" s="78"/>
      <c r="AY128" s="78"/>
      <c r="AZ128" s="78"/>
      <c r="BA128" s="78"/>
      <c r="BB128" s="78"/>
      <c r="BC128" s="78">
        <f t="shared" ref="BC128:BN128" si="42">AD128</f>
        <v>0.78414285714285714</v>
      </c>
      <c r="BD128" s="78">
        <f t="shared" si="42"/>
        <v>0.8875142857142857</v>
      </c>
      <c r="BE128" s="78">
        <f t="shared" si="42"/>
        <v>0.85050000000000003</v>
      </c>
      <c r="BF128" s="78">
        <f t="shared" si="42"/>
        <v>0.90175714285714292</v>
      </c>
      <c r="BG128" s="78">
        <f t="shared" si="42"/>
        <v>0.92549999999999999</v>
      </c>
      <c r="BH128" s="78">
        <f t="shared" si="42"/>
        <v>0.84848571428571418</v>
      </c>
      <c r="BI128" s="78">
        <f t="shared" si="42"/>
        <v>0.92071428571428571</v>
      </c>
      <c r="BJ128" s="78">
        <f t="shared" si="42"/>
        <v>0.87885714285714289</v>
      </c>
      <c r="BK128" s="78">
        <f t="shared" si="42"/>
        <v>0.88021428571428573</v>
      </c>
      <c r="BL128" s="78">
        <f t="shared" si="42"/>
        <v>0.87538571428571421</v>
      </c>
      <c r="BM128" s="78">
        <f t="shared" si="42"/>
        <v>0.88564285714285718</v>
      </c>
      <c r="BN128" s="78">
        <f t="shared" si="42"/>
        <v>0.88481428571428578</v>
      </c>
    </row>
    <row r="129" spans="1:66" x14ac:dyDescent="0.2">
      <c r="A129" s="81" t="str">
        <f t="shared" si="36"/>
        <v>Palmiet</v>
      </c>
      <c r="R129" s="78"/>
      <c r="AD129" s="78"/>
      <c r="BC129" s="78"/>
      <c r="BD129" s="78"/>
      <c r="BE129" s="78"/>
      <c r="BF129" s="78"/>
      <c r="BG129" s="78"/>
      <c r="BH129" s="78"/>
      <c r="BI129" s="78"/>
      <c r="BJ129" s="78"/>
      <c r="BK129" s="78"/>
      <c r="BL129" s="78"/>
      <c r="BM129" s="78"/>
      <c r="BN129" s="78"/>
    </row>
    <row r="130" spans="1:66" x14ac:dyDescent="0.2">
      <c r="A130" s="81" t="str">
        <f>A95</f>
        <v>Ingula</v>
      </c>
      <c r="B130" s="77" t="str">
        <f>ProcDataGen2012On!C13</f>
        <v>Pumped Storage New Ingula - Single Storage Tech</v>
      </c>
      <c r="C130" s="87">
        <f>MATCH(A130,$AC$143:$AC$174,0)</f>
        <v>8</v>
      </c>
      <c r="R130" s="78">
        <f t="shared" ref="R130:AC131" si="43">AD130</f>
        <v>0.93279999999999996</v>
      </c>
      <c r="S130" s="78">
        <f t="shared" si="43"/>
        <v>0.98919999999999997</v>
      </c>
      <c r="T130" s="78">
        <f t="shared" si="43"/>
        <v>0.94370000000000009</v>
      </c>
      <c r="U130" s="78">
        <f t="shared" si="43"/>
        <v>0.94709999999999994</v>
      </c>
      <c r="V130" s="78">
        <f t="shared" si="43"/>
        <v>0.97349999999999992</v>
      </c>
      <c r="W130" s="78">
        <f t="shared" si="43"/>
        <v>0.90849999999999997</v>
      </c>
      <c r="X130" s="78">
        <f t="shared" si="43"/>
        <v>0.91390000000000005</v>
      </c>
      <c r="Y130" s="78">
        <f t="shared" si="43"/>
        <v>0.90680000000000005</v>
      </c>
      <c r="Z130" s="78">
        <f t="shared" si="43"/>
        <v>0.90540000000000009</v>
      </c>
      <c r="AA130" s="78">
        <f t="shared" si="43"/>
        <v>0.93559999999999999</v>
      </c>
      <c r="AB130" s="78">
        <f t="shared" si="43"/>
        <v>0.93599999999999994</v>
      </c>
      <c r="AC130" s="78">
        <f t="shared" si="43"/>
        <v>0.93</v>
      </c>
      <c r="AD130" s="78" cm="1">
        <f t="array" ref="AD130">INDEX(AD$143:AD$183,$C130)</f>
        <v>0.93279999999999996</v>
      </c>
      <c r="AE130" s="78" cm="1">
        <f t="array" ref="AE130">INDEX(AE$143:AE$183,$C130)</f>
        <v>0.98919999999999997</v>
      </c>
      <c r="AF130" s="78" cm="1">
        <f t="array" ref="AF130">INDEX(AF$143:AF$183,$C130)</f>
        <v>0.94370000000000009</v>
      </c>
      <c r="AG130" s="78" cm="1">
        <f t="array" ref="AG130">INDEX(AG$143:AG$183,$C130)</f>
        <v>0.94709999999999994</v>
      </c>
      <c r="AH130" s="78" cm="1">
        <f t="array" ref="AH130">INDEX(AH$143:AH$183,$C130)</f>
        <v>0.97349999999999992</v>
      </c>
      <c r="AI130" s="78" cm="1">
        <f t="array" ref="AI130">INDEX(AI$143:AI$183,$C130)</f>
        <v>0.90849999999999997</v>
      </c>
      <c r="AJ130" s="78" cm="1">
        <f t="array" ref="AJ130">INDEX(AJ$143:AJ$183,$C130)</f>
        <v>0.91390000000000005</v>
      </c>
      <c r="AK130" s="78" cm="1">
        <f t="array" ref="AK130">INDEX(AK$143:AK$183,$C130)</f>
        <v>0.90680000000000005</v>
      </c>
      <c r="AL130" s="78" cm="1">
        <f t="array" ref="AL130">INDEX(AL$143:AL$183,$C130)</f>
        <v>0.90540000000000009</v>
      </c>
      <c r="AM130" s="78" cm="1">
        <f t="array" ref="AM130">INDEX(AM$143:AM$183,$C130)</f>
        <v>0.93559999999999999</v>
      </c>
      <c r="AN130" s="78" cm="1">
        <f t="array" ref="AN130">INDEX(AN$143:AN$183,$C130)</f>
        <v>0.93599999999999994</v>
      </c>
      <c r="AO130" s="78" cm="1">
        <f t="array" ref="AO130">INDEX(AO$143:AO$183,$C130)</f>
        <v>0.93</v>
      </c>
      <c r="AP130" s="78"/>
      <c r="AQ130" s="78"/>
      <c r="AR130" s="78"/>
      <c r="AS130" s="78"/>
      <c r="AT130" s="78"/>
      <c r="AU130" s="78"/>
      <c r="AV130" s="78"/>
      <c r="AW130" s="78"/>
      <c r="AX130" s="78"/>
      <c r="AY130" s="78"/>
      <c r="AZ130" s="78"/>
      <c r="BA130" s="78"/>
      <c r="BB130" s="78"/>
      <c r="BC130" s="78">
        <f t="shared" ref="BC130:BN131" si="44">AD130</f>
        <v>0.93279999999999996</v>
      </c>
      <c r="BD130" s="78">
        <f t="shared" si="44"/>
        <v>0.98919999999999997</v>
      </c>
      <c r="BE130" s="78">
        <f t="shared" si="44"/>
        <v>0.94370000000000009</v>
      </c>
      <c r="BF130" s="78">
        <f t="shared" si="44"/>
        <v>0.94709999999999994</v>
      </c>
      <c r="BG130" s="78">
        <f t="shared" si="44"/>
        <v>0.97349999999999992</v>
      </c>
      <c r="BH130" s="78">
        <f t="shared" si="44"/>
        <v>0.90849999999999997</v>
      </c>
      <c r="BI130" s="78">
        <f t="shared" si="44"/>
        <v>0.91390000000000005</v>
      </c>
      <c r="BJ130" s="78">
        <f t="shared" si="44"/>
        <v>0.90680000000000005</v>
      </c>
      <c r="BK130" s="78">
        <f t="shared" si="44"/>
        <v>0.90540000000000009</v>
      </c>
      <c r="BL130" s="78">
        <f t="shared" si="44"/>
        <v>0.93559999999999999</v>
      </c>
      <c r="BM130" s="78">
        <f t="shared" si="44"/>
        <v>0.93599999999999994</v>
      </c>
      <c r="BN130" s="78">
        <f t="shared" si="44"/>
        <v>0.93</v>
      </c>
    </row>
    <row r="131" spans="1:66" x14ac:dyDescent="0.2">
      <c r="A131" s="81" t="str">
        <f>A96</f>
        <v>Peaking</v>
      </c>
      <c r="B131" s="77" t="str">
        <f>AC178</f>
        <v>DOE Peakers</v>
      </c>
      <c r="C131" s="87">
        <f>MATCH(A131,$AC$143:$AC$174,0)</f>
        <v>10</v>
      </c>
      <c r="R131" s="78">
        <f t="shared" si="43"/>
        <v>0.91790000000000005</v>
      </c>
      <c r="S131" s="78">
        <f t="shared" si="43"/>
        <v>0.94340000000000002</v>
      </c>
      <c r="T131" s="78">
        <f t="shared" si="43"/>
        <v>0.92469999999999997</v>
      </c>
      <c r="U131" s="78">
        <f t="shared" si="43"/>
        <v>0.94310000000000005</v>
      </c>
      <c r="V131" s="78">
        <f t="shared" si="43"/>
        <v>0.96200000000000008</v>
      </c>
      <c r="W131" s="78">
        <f t="shared" si="43"/>
        <v>0.91599999999999993</v>
      </c>
      <c r="X131" s="78">
        <f t="shared" si="43"/>
        <v>0.91879999999999995</v>
      </c>
      <c r="Y131" s="78">
        <f t="shared" si="43"/>
        <v>0.93180000000000007</v>
      </c>
      <c r="Z131" s="78">
        <f t="shared" si="43"/>
        <v>0.92110000000000003</v>
      </c>
      <c r="AA131" s="78">
        <f t="shared" si="43"/>
        <v>0.92959999999999998</v>
      </c>
      <c r="AB131" s="78">
        <f t="shared" si="43"/>
        <v>0.93129999999999991</v>
      </c>
      <c r="AC131" s="78">
        <f t="shared" si="43"/>
        <v>0.92989999999999995</v>
      </c>
      <c r="AD131" s="78" cm="1">
        <f t="array" ref="AD131">INDEX(AD$143:AD$183,$C131)</f>
        <v>0.91790000000000005</v>
      </c>
      <c r="AE131" s="78" cm="1">
        <f t="array" ref="AE131">INDEX(AE$143:AE$183,$C131)</f>
        <v>0.94340000000000002</v>
      </c>
      <c r="AF131" s="78" cm="1">
        <f t="array" ref="AF131">INDEX(AF$143:AF$183,$C131)</f>
        <v>0.92469999999999997</v>
      </c>
      <c r="AG131" s="78" cm="1">
        <f t="array" ref="AG131">INDEX(AG$143:AG$183,$C131)</f>
        <v>0.94310000000000005</v>
      </c>
      <c r="AH131" s="78" cm="1">
        <f t="array" ref="AH131">INDEX(AH$143:AH$183,$C131)</f>
        <v>0.96200000000000008</v>
      </c>
      <c r="AI131" s="78" cm="1">
        <f t="array" ref="AI131">INDEX(AI$143:AI$183,$C131)</f>
        <v>0.91599999999999993</v>
      </c>
      <c r="AJ131" s="78" cm="1">
        <f t="array" ref="AJ131">INDEX(AJ$143:AJ$183,$C131)</f>
        <v>0.91879999999999995</v>
      </c>
      <c r="AK131" s="78" cm="1">
        <f t="array" ref="AK131">INDEX(AK$143:AK$183,$C131)</f>
        <v>0.93180000000000007</v>
      </c>
      <c r="AL131" s="78" cm="1">
        <f t="array" ref="AL131">INDEX(AL$143:AL$183,$C131)</f>
        <v>0.92110000000000003</v>
      </c>
      <c r="AM131" s="78" cm="1">
        <f t="array" ref="AM131">INDEX(AM$143:AM$183,$C131)</f>
        <v>0.92959999999999998</v>
      </c>
      <c r="AN131" s="78" cm="1">
        <f t="array" ref="AN131">INDEX(AN$143:AN$183,$C131)</f>
        <v>0.93129999999999991</v>
      </c>
      <c r="AO131" s="78" cm="1">
        <f t="array" ref="AO131">INDEX(AO$143:AO$183,$C131)</f>
        <v>0.92989999999999995</v>
      </c>
      <c r="AP131" s="78"/>
      <c r="AQ131" s="78"/>
      <c r="AR131" s="78"/>
      <c r="AS131" s="78"/>
      <c r="AT131" s="78"/>
      <c r="AU131" s="78"/>
      <c r="AV131" s="78"/>
      <c r="AW131" s="78"/>
      <c r="AX131" s="78"/>
      <c r="AY131" s="78"/>
      <c r="AZ131" s="78"/>
      <c r="BA131" s="78"/>
      <c r="BB131" s="78"/>
      <c r="BC131" s="78">
        <f t="shared" si="44"/>
        <v>0.91790000000000005</v>
      </c>
      <c r="BD131" s="78">
        <f t="shared" si="44"/>
        <v>0.94340000000000002</v>
      </c>
      <c r="BE131" s="78">
        <f t="shared" si="44"/>
        <v>0.92469999999999997</v>
      </c>
      <c r="BF131" s="78">
        <f t="shared" si="44"/>
        <v>0.94310000000000005</v>
      </c>
      <c r="BG131" s="78">
        <f t="shared" si="44"/>
        <v>0.96200000000000008</v>
      </c>
      <c r="BH131" s="78">
        <f t="shared" si="44"/>
        <v>0.91599999999999993</v>
      </c>
      <c r="BI131" s="78">
        <f t="shared" si="44"/>
        <v>0.91879999999999995</v>
      </c>
      <c r="BJ131" s="78">
        <f t="shared" si="44"/>
        <v>0.93180000000000007</v>
      </c>
      <c r="BK131" s="78">
        <f t="shared" si="44"/>
        <v>0.92110000000000003</v>
      </c>
      <c r="BL131" s="78">
        <f t="shared" si="44"/>
        <v>0.92959999999999998</v>
      </c>
      <c r="BM131" s="78">
        <f t="shared" si="44"/>
        <v>0.93129999999999991</v>
      </c>
      <c r="BN131" s="78">
        <f t="shared" si="44"/>
        <v>0.92989999999999995</v>
      </c>
    </row>
    <row r="132" spans="1:66" s="343" customFormat="1" x14ac:dyDescent="0.2">
      <c r="A132" s="343" t="s">
        <v>1818</v>
      </c>
      <c r="R132" s="86">
        <f>(R81*R115+SUMPRODUCT(R117:R131,R82:R96))/SUM(R81:R96)</f>
        <v>0.71878239411533651</v>
      </c>
      <c r="S132" s="86">
        <f t="shared" ref="S132:AC132" si="45">(S81*S115+SUMPRODUCT(S117:S131,S82:S96))/SUM(S81:S96)</f>
        <v>0.73065766417325695</v>
      </c>
      <c r="T132" s="86">
        <f t="shared" si="45"/>
        <v>0.7358996001289525</v>
      </c>
      <c r="U132" s="86">
        <f t="shared" si="45"/>
        <v>0.73427769644199858</v>
      </c>
      <c r="V132" s="86">
        <f t="shared" si="45"/>
        <v>0.74476250377735242</v>
      </c>
      <c r="W132" s="86">
        <f t="shared" si="45"/>
        <v>0.74538893547133611</v>
      </c>
      <c r="X132" s="86">
        <f t="shared" si="45"/>
        <v>0.75401712070530436</v>
      </c>
      <c r="Y132" s="86">
        <f t="shared" si="45"/>
        <v>0.75042882457485938</v>
      </c>
      <c r="Z132" s="86">
        <f t="shared" si="45"/>
        <v>0.7540693259598632</v>
      </c>
      <c r="AA132" s="86">
        <f t="shared" si="45"/>
        <v>0.75710263862334359</v>
      </c>
      <c r="AB132" s="86">
        <f t="shared" si="45"/>
        <v>0.77134468894040886</v>
      </c>
      <c r="AC132" s="86">
        <f t="shared" si="45"/>
        <v>0.77032507546056794</v>
      </c>
      <c r="BC132" s="86">
        <f>(R81*BC115+SUMPRODUCT(BC117:BC131,R82:R96))/SUM(R81:R96)</f>
        <v>0.71082781806197048</v>
      </c>
      <c r="BD132" s="86">
        <f t="shared" ref="BD132:BN132" si="46">(S81*BD115+SUMPRODUCT(BD117:BD131,S82:S96))/SUM(S81:S96)</f>
        <v>0.64318763976548476</v>
      </c>
      <c r="BE132" s="86">
        <f t="shared" si="46"/>
        <v>0.61783782431701029</v>
      </c>
      <c r="BF132" s="86">
        <f t="shared" si="46"/>
        <v>0.56143575131146639</v>
      </c>
      <c r="BG132" s="86">
        <f t="shared" si="46"/>
        <v>0.52647256532597808</v>
      </c>
      <c r="BH132" s="86">
        <f t="shared" si="46"/>
        <v>0.50183558560308927</v>
      </c>
      <c r="BI132" s="86">
        <f t="shared" si="46"/>
        <v>0.49476171320985851</v>
      </c>
      <c r="BJ132" s="86">
        <f t="shared" si="46"/>
        <v>0.50300859405875276</v>
      </c>
      <c r="BK132" s="86">
        <f t="shared" si="46"/>
        <v>0.50198045421971316</v>
      </c>
      <c r="BL132" s="86">
        <f t="shared" si="46"/>
        <v>0.50585405194821054</v>
      </c>
      <c r="BM132" s="86">
        <f t="shared" si="46"/>
        <v>0.51460188607667001</v>
      </c>
      <c r="BN132" s="86">
        <f t="shared" si="46"/>
        <v>0.51522923314021374</v>
      </c>
    </row>
    <row r="133" spans="1:66" ht="15" x14ac:dyDescent="0.25">
      <c r="BB133" s="77" t="s">
        <v>1947</v>
      </c>
      <c r="BC133" s="519">
        <v>0.98</v>
      </c>
      <c r="BD133" s="520">
        <v>0.78</v>
      </c>
      <c r="BE133" s="520">
        <v>0.71</v>
      </c>
      <c r="BF133" s="520">
        <v>0.56000000000000005</v>
      </c>
      <c r="BG133" s="516">
        <v>0.52</v>
      </c>
      <c r="BH133" s="516">
        <v>0.5</v>
      </c>
      <c r="BI133" s="516">
        <v>0.49</v>
      </c>
      <c r="BJ133" s="516">
        <v>0.495</v>
      </c>
      <c r="BK133" s="516">
        <v>0.5</v>
      </c>
      <c r="BL133" s="516">
        <v>0.5</v>
      </c>
      <c r="BM133" s="516">
        <v>0.505</v>
      </c>
      <c r="BN133" s="516">
        <v>0.51</v>
      </c>
    </row>
    <row r="134" spans="1:66" ht="15" x14ac:dyDescent="0.25">
      <c r="G134" s="77" t="str">
        <f t="shared" ref="G134:O134" si="47">G4</f>
        <v>2009-2010</v>
      </c>
      <c r="H134" s="77" t="str">
        <f t="shared" si="47"/>
        <v>2010-2011</v>
      </c>
      <c r="I134" s="77" t="str">
        <f t="shared" si="47"/>
        <v>2011-2012</v>
      </c>
      <c r="J134" s="77" t="str">
        <f t="shared" si="47"/>
        <v>2012-2013</v>
      </c>
      <c r="K134" s="77" t="str">
        <f t="shared" si="47"/>
        <v>2013-2014</v>
      </c>
      <c r="L134" s="77" t="str">
        <f t="shared" si="47"/>
        <v>2014-2015</v>
      </c>
      <c r="M134" s="77" t="str">
        <f t="shared" si="47"/>
        <v>2015-2016</v>
      </c>
      <c r="N134" s="77" t="str">
        <f t="shared" si="47"/>
        <v>2016-2017</v>
      </c>
      <c r="O134" s="77" t="str">
        <f t="shared" si="47"/>
        <v>2017-2018</v>
      </c>
      <c r="AR134" s="77" t="s">
        <v>2555</v>
      </c>
      <c r="BB134" s="77" t="s">
        <v>1948</v>
      </c>
      <c r="BC134" s="519">
        <v>0.98</v>
      </c>
      <c r="BD134" s="520">
        <v>0.78</v>
      </c>
      <c r="BE134" s="520">
        <v>0.71</v>
      </c>
      <c r="BF134" s="521">
        <v>0.56000000000000005</v>
      </c>
      <c r="BG134" s="517">
        <v>0.59</v>
      </c>
      <c r="BH134" s="517">
        <v>0.66</v>
      </c>
      <c r="BI134" s="517">
        <v>0.66500000000000004</v>
      </c>
      <c r="BJ134" s="517">
        <v>0.67</v>
      </c>
      <c r="BK134" s="517">
        <v>0.67500000000000004</v>
      </c>
      <c r="BL134" s="517">
        <v>0.68</v>
      </c>
      <c r="BM134" s="517">
        <v>0.68500000000000005</v>
      </c>
      <c r="BN134" s="517">
        <f>BM134</f>
        <v>0.68500000000000005</v>
      </c>
    </row>
    <row r="135" spans="1:66" x14ac:dyDescent="0.2">
      <c r="A135" s="81" t="s">
        <v>416</v>
      </c>
      <c r="B135" s="84">
        <v>1980</v>
      </c>
      <c r="C135" s="83">
        <v>26197</v>
      </c>
      <c r="D135" s="83">
        <v>26197</v>
      </c>
      <c r="E135" s="82" t="s">
        <v>511</v>
      </c>
      <c r="F135" s="81" t="s">
        <v>149</v>
      </c>
      <c r="G135" s="80">
        <f t="shared" ref="G135:O135" si="48">G5/$B135/8760</f>
        <v>0.7626414833264149</v>
      </c>
      <c r="H135" s="80">
        <f t="shared" si="48"/>
        <v>0.70308553572252197</v>
      </c>
      <c r="I135" s="80">
        <f t="shared" si="48"/>
        <v>0.70505846132558458</v>
      </c>
      <c r="J135" s="80">
        <f t="shared" si="48"/>
        <v>0.68901324892763249</v>
      </c>
      <c r="K135" s="80">
        <f t="shared" si="48"/>
        <v>0.62501458650431252</v>
      </c>
      <c r="L135" s="80">
        <f t="shared" si="48"/>
        <v>0.57041949172086159</v>
      </c>
      <c r="M135" s="80">
        <f t="shared" si="48"/>
        <v>0.58225047276417141</v>
      </c>
      <c r="N135" s="80">
        <f t="shared" si="48"/>
        <v>0.60439209446058761</v>
      </c>
      <c r="O135" s="80">
        <f t="shared" si="48"/>
        <v>0.59413282367049491</v>
      </c>
    </row>
    <row r="136" spans="1:66" x14ac:dyDescent="0.2">
      <c r="A136" s="81" t="s">
        <v>466</v>
      </c>
      <c r="B136" s="84">
        <v>3450</v>
      </c>
      <c r="C136" s="83">
        <v>29238</v>
      </c>
      <c r="D136" s="83">
        <v>29238</v>
      </c>
      <c r="E136" s="82" t="s">
        <v>510</v>
      </c>
      <c r="F136" s="81" t="s">
        <v>149</v>
      </c>
      <c r="G136" s="80">
        <f t="shared" ref="G136:O136" si="49">G6/$B136/8760</f>
        <v>0.74717847925352399</v>
      </c>
      <c r="H136" s="80">
        <f t="shared" si="49"/>
        <v>0.6706210045662101</v>
      </c>
      <c r="I136" s="80">
        <f t="shared" si="49"/>
        <v>0.58091651776851305</v>
      </c>
      <c r="J136" s="80">
        <f t="shared" si="49"/>
        <v>0.57620157501158098</v>
      </c>
      <c r="K136" s="80">
        <f t="shared" si="49"/>
        <v>0.59312348620210442</v>
      </c>
      <c r="L136" s="80">
        <f t="shared" si="49"/>
        <v>0.43648547415789823</v>
      </c>
      <c r="M136" s="80">
        <f t="shared" si="49"/>
        <v>0.46522735093640394</v>
      </c>
      <c r="N136" s="80">
        <f t="shared" si="49"/>
        <v>0.54129442128250949</v>
      </c>
      <c r="O136" s="80">
        <f t="shared" si="49"/>
        <v>0.43018380649857718</v>
      </c>
    </row>
    <row r="137" spans="1:66" x14ac:dyDescent="0.2">
      <c r="A137" s="81" t="s">
        <v>409</v>
      </c>
      <c r="B137" s="84">
        <v>1895</v>
      </c>
      <c r="C137" s="83">
        <v>25700</v>
      </c>
      <c r="D137" s="83">
        <v>25700</v>
      </c>
      <c r="E137" s="82" t="s">
        <v>509</v>
      </c>
      <c r="F137" s="81" t="s">
        <v>149</v>
      </c>
      <c r="G137" s="80">
        <f t="shared" ref="G137:O137" si="50">G7/$B137/8760</f>
        <v>0.73151480102649369</v>
      </c>
      <c r="H137" s="80">
        <f t="shared" si="50"/>
        <v>0.71916037156178847</v>
      </c>
      <c r="I137" s="80">
        <f t="shared" si="50"/>
        <v>0.68748310261322143</v>
      </c>
      <c r="J137" s="80">
        <f t="shared" si="50"/>
        <v>0.57164112480572526</v>
      </c>
      <c r="K137" s="80">
        <f t="shared" si="50"/>
        <v>0.53383549595788005</v>
      </c>
      <c r="L137" s="80">
        <f t="shared" si="50"/>
        <v>0.60721153962000451</v>
      </c>
      <c r="M137" s="80">
        <f t="shared" si="50"/>
        <v>0.49229677955687279</v>
      </c>
      <c r="N137" s="80">
        <f t="shared" si="50"/>
        <v>0.53729702051782513</v>
      </c>
      <c r="O137" s="80">
        <f t="shared" si="50"/>
        <v>0.46188648329538196</v>
      </c>
      <c r="AQ137" s="77" t="s">
        <v>2557</v>
      </c>
    </row>
    <row r="138" spans="1:66" x14ac:dyDescent="0.2">
      <c r="A138" s="81" t="s">
        <v>455</v>
      </c>
      <c r="B138" s="84">
        <v>3840</v>
      </c>
      <c r="C138" s="83">
        <v>32417</v>
      </c>
      <c r="D138" s="83">
        <v>32417</v>
      </c>
      <c r="E138" s="82" t="s">
        <v>508</v>
      </c>
      <c r="F138" s="81" t="s">
        <v>149</v>
      </c>
      <c r="G138" s="80">
        <f t="shared" ref="G138:O138" si="51">G8/$B138/8760</f>
        <v>0.69286978572108071</v>
      </c>
      <c r="H138" s="80">
        <f t="shared" si="51"/>
        <v>0.76246961805555558</v>
      </c>
      <c r="I138" s="80">
        <f t="shared" si="51"/>
        <v>0.81184886914954335</v>
      </c>
      <c r="J138" s="80">
        <f t="shared" si="51"/>
        <v>0.7788275601693303</v>
      </c>
      <c r="K138" s="80">
        <f t="shared" si="51"/>
        <v>0.80301714707001526</v>
      </c>
      <c r="L138" s="80">
        <f t="shared" si="51"/>
        <v>0.72712025542237446</v>
      </c>
      <c r="M138" s="80">
        <f t="shared" si="51"/>
        <v>0.75216226098744288</v>
      </c>
      <c r="N138" s="80">
        <f t="shared" si="51"/>
        <v>0.68919687024353116</v>
      </c>
      <c r="O138" s="80">
        <f t="shared" si="51"/>
        <v>0.75645547945205482</v>
      </c>
      <c r="AQ138" s="342">
        <v>2020</v>
      </c>
      <c r="AR138" s="87">
        <v>2021</v>
      </c>
      <c r="AS138" s="87">
        <v>2022</v>
      </c>
      <c r="AT138" s="87">
        <v>2023</v>
      </c>
      <c r="AU138" s="87">
        <v>2024</v>
      </c>
      <c r="AV138" s="342">
        <v>2025</v>
      </c>
      <c r="AW138" s="87">
        <v>2026</v>
      </c>
      <c r="AX138" s="87">
        <v>2027</v>
      </c>
      <c r="AY138" s="87">
        <v>2028</v>
      </c>
      <c r="AZ138" s="87">
        <v>2029</v>
      </c>
      <c r="BA138" s="342">
        <v>2030</v>
      </c>
      <c r="BB138" s="77">
        <v>2031</v>
      </c>
    </row>
    <row r="139" spans="1:66" ht="15" x14ac:dyDescent="0.25">
      <c r="A139" s="81" t="s">
        <v>410</v>
      </c>
      <c r="B139" s="84">
        <v>2850</v>
      </c>
      <c r="C139" s="83">
        <v>27886</v>
      </c>
      <c r="D139" s="83">
        <v>27886</v>
      </c>
      <c r="E139" s="82" t="s">
        <v>507</v>
      </c>
      <c r="F139" s="81" t="s">
        <v>149</v>
      </c>
      <c r="G139" s="80">
        <f t="shared" ref="G139:O139" si="52">G9/$B139/8760</f>
        <v>0.63713914924297044</v>
      </c>
      <c r="H139" s="80">
        <f t="shared" si="52"/>
        <v>0.72918809581030197</v>
      </c>
      <c r="I139" s="80">
        <f t="shared" si="52"/>
        <v>0.61239962348794352</v>
      </c>
      <c r="J139" s="80">
        <f t="shared" si="52"/>
        <v>0.66373023311703916</v>
      </c>
      <c r="K139" s="80">
        <f t="shared" si="52"/>
        <v>0.57852447328366574</v>
      </c>
      <c r="L139" s="80">
        <f t="shared" si="52"/>
        <v>0.59295954498117442</v>
      </c>
      <c r="M139" s="80">
        <f t="shared" si="52"/>
        <v>0.63848501962669224</v>
      </c>
      <c r="N139" s="80">
        <f t="shared" si="52"/>
        <v>0.5943243611311384</v>
      </c>
      <c r="O139" s="80">
        <f t="shared" si="52"/>
        <v>0.48800889209324677</v>
      </c>
      <c r="AP139" s="77" t="s">
        <v>1825</v>
      </c>
      <c r="AQ139" s="514">
        <v>0.98</v>
      </c>
      <c r="AR139" s="514">
        <v>0.78</v>
      </c>
      <c r="AS139" s="514">
        <v>0.71</v>
      </c>
      <c r="AT139" s="514">
        <v>0.56000000000000005</v>
      </c>
      <c r="AU139" s="44">
        <v>0.45</v>
      </c>
      <c r="AV139" s="44">
        <v>0.39</v>
      </c>
      <c r="AW139" s="44">
        <v>0.33</v>
      </c>
      <c r="AX139" s="44">
        <v>0.35</v>
      </c>
      <c r="AY139" s="44">
        <v>0.33</v>
      </c>
      <c r="AZ139" s="44">
        <v>0.32</v>
      </c>
      <c r="BA139" s="44">
        <v>0.25</v>
      </c>
    </row>
    <row r="140" spans="1:66" ht="15" x14ac:dyDescent="0.25">
      <c r="A140" s="81" t="s">
        <v>441</v>
      </c>
      <c r="B140" s="84">
        <v>3558</v>
      </c>
      <c r="C140" s="83">
        <v>31403</v>
      </c>
      <c r="D140" s="83">
        <v>31403</v>
      </c>
      <c r="E140" s="82" t="s">
        <v>506</v>
      </c>
      <c r="F140" s="81" t="s">
        <v>149</v>
      </c>
      <c r="G140" s="80">
        <f t="shared" ref="G140:O140" si="53">G10/$B140/8760</f>
        <v>0.81887296233839235</v>
      </c>
      <c r="H140" s="80">
        <f t="shared" si="53"/>
        <v>0.81815646007068776</v>
      </c>
      <c r="I140" s="80">
        <f t="shared" si="53"/>
        <v>0.77883966545260408</v>
      </c>
      <c r="J140" s="80">
        <f t="shared" si="53"/>
        <v>0.72125732480152771</v>
      </c>
      <c r="K140" s="80">
        <f t="shared" si="53"/>
        <v>0.74090386703319544</v>
      </c>
      <c r="L140" s="80">
        <f t="shared" si="53"/>
        <v>0.76175208739197275</v>
      </c>
      <c r="M140" s="80">
        <f t="shared" si="53"/>
        <v>0.67365105582377871</v>
      </c>
      <c r="N140" s="80">
        <f t="shared" si="53"/>
        <v>0.71456188510809782</v>
      </c>
      <c r="O140" s="80">
        <f t="shared" si="53"/>
        <v>0.58402057489585502</v>
      </c>
      <c r="AP140" s="77" t="s">
        <v>2560</v>
      </c>
      <c r="AQ140" s="514">
        <v>0.98</v>
      </c>
      <c r="AR140" s="514">
        <v>0.78</v>
      </c>
      <c r="AS140" s="514">
        <v>0.71</v>
      </c>
      <c r="AT140" s="514">
        <v>0.56000000000000005</v>
      </c>
      <c r="AU140" s="518">
        <v>0.61</v>
      </c>
      <c r="AV140" s="518">
        <v>0.79</v>
      </c>
      <c r="AW140" s="518">
        <v>0.77</v>
      </c>
      <c r="AX140" s="518">
        <v>0.8</v>
      </c>
      <c r="AY140" s="518">
        <v>0.8</v>
      </c>
      <c r="AZ140" s="518">
        <v>0.8</v>
      </c>
      <c r="BA140" s="518">
        <v>0.75</v>
      </c>
    </row>
    <row r="141" spans="1:66" x14ac:dyDescent="0.2">
      <c r="A141" s="81" t="s">
        <v>434</v>
      </c>
      <c r="B141" s="84">
        <v>3690</v>
      </c>
      <c r="C141" s="83">
        <v>32115</v>
      </c>
      <c r="D141" s="83">
        <v>32115</v>
      </c>
      <c r="E141" s="82" t="s">
        <v>505</v>
      </c>
      <c r="F141" s="81" t="s">
        <v>149</v>
      </c>
      <c r="G141" s="80">
        <f t="shared" ref="G141:O141" si="54">G11/$B141/8760</f>
        <v>0.8651093601118659</v>
      </c>
      <c r="H141" s="80">
        <f t="shared" si="54"/>
        <v>0.87126257563945497</v>
      </c>
      <c r="I141" s="80">
        <f t="shared" si="54"/>
        <v>0.86310882800608824</v>
      </c>
      <c r="J141" s="80">
        <f t="shared" si="54"/>
        <v>0.8264383252280012</v>
      </c>
      <c r="K141" s="80">
        <f t="shared" si="54"/>
        <v>0.80110340795188772</v>
      </c>
      <c r="L141" s="80">
        <f t="shared" si="54"/>
        <v>0.8306922324931012</v>
      </c>
      <c r="M141" s="80">
        <f t="shared" si="54"/>
        <v>0.75961301679226834</v>
      </c>
      <c r="N141" s="80">
        <f t="shared" si="54"/>
        <v>0.79228926136293321</v>
      </c>
      <c r="O141" s="80">
        <f t="shared" si="54"/>
        <v>0.81576146811696426</v>
      </c>
      <c r="AC141" s="77" t="s">
        <v>1812</v>
      </c>
    </row>
    <row r="142" spans="1:66" x14ac:dyDescent="0.2">
      <c r="A142" s="81" t="s">
        <v>407</v>
      </c>
      <c r="B142" s="84">
        <v>3843</v>
      </c>
      <c r="C142" s="83">
        <v>35156</v>
      </c>
      <c r="D142" s="83">
        <v>35156</v>
      </c>
      <c r="E142" s="82" t="s">
        <v>504</v>
      </c>
      <c r="F142" s="81" t="s">
        <v>149</v>
      </c>
      <c r="G142" s="80">
        <f t="shared" ref="G142:O142" si="55">G12/$B142/8760</f>
        <v>0.66360592169597332</v>
      </c>
      <c r="H142" s="80">
        <f t="shared" si="55"/>
        <v>0.73170411838163918</v>
      </c>
      <c r="I142" s="80">
        <f t="shared" si="55"/>
        <v>0.75228245151892126</v>
      </c>
      <c r="J142" s="80">
        <f t="shared" si="55"/>
        <v>0.73613454813769208</v>
      </c>
      <c r="K142" s="80">
        <f t="shared" si="55"/>
        <v>0.70700354199119075</v>
      </c>
      <c r="L142" s="80">
        <f t="shared" si="55"/>
        <v>0.66609128617886759</v>
      </c>
      <c r="M142" s="80">
        <f t="shared" si="55"/>
        <v>0.62937909999441555</v>
      </c>
      <c r="N142" s="80">
        <f t="shared" si="55"/>
        <v>0.62085128983848947</v>
      </c>
      <c r="O142" s="80">
        <f t="shared" si="55"/>
        <v>0.72518942701965383</v>
      </c>
      <c r="AC142"/>
      <c r="AD142">
        <v>2020</v>
      </c>
      <c r="AE142">
        <v>2021</v>
      </c>
      <c r="AF142">
        <v>2022</v>
      </c>
      <c r="AG142">
        <v>2023</v>
      </c>
      <c r="AH142">
        <v>2024</v>
      </c>
      <c r="AI142">
        <v>2025</v>
      </c>
      <c r="AJ142">
        <v>2026</v>
      </c>
      <c r="AK142">
        <v>2027</v>
      </c>
      <c r="AL142">
        <v>2028</v>
      </c>
      <c r="AM142">
        <v>2029</v>
      </c>
      <c r="AN142">
        <v>2030</v>
      </c>
      <c r="AO142">
        <v>2031</v>
      </c>
      <c r="AP142"/>
      <c r="AQ142"/>
      <c r="AR142"/>
      <c r="AS142"/>
      <c r="AT142"/>
      <c r="AU142"/>
      <c r="AV142"/>
      <c r="AW142"/>
      <c r="AX142"/>
      <c r="AY142"/>
      <c r="AZ142"/>
      <c r="BA142"/>
      <c r="BB142"/>
    </row>
    <row r="143" spans="1:66" x14ac:dyDescent="0.2">
      <c r="A143" s="81" t="s">
        <v>413</v>
      </c>
      <c r="B143" s="84">
        <v>3450</v>
      </c>
      <c r="C143" s="83">
        <v>29127</v>
      </c>
      <c r="D143" s="83">
        <v>29127</v>
      </c>
      <c r="E143" s="82" t="s">
        <v>503</v>
      </c>
      <c r="F143" s="81" t="s">
        <v>149</v>
      </c>
      <c r="G143" s="80">
        <f t="shared" ref="G143:O143" si="56">G13/$B143/8760</f>
        <v>0.72644219442790026</v>
      </c>
      <c r="H143" s="80">
        <f t="shared" si="56"/>
        <v>0.71154860697505129</v>
      </c>
      <c r="I143" s="80">
        <f t="shared" si="56"/>
        <v>0.68327781086625639</v>
      </c>
      <c r="J143" s="80">
        <f t="shared" si="56"/>
        <v>0.72595096287472705</v>
      </c>
      <c r="K143" s="80">
        <f t="shared" si="56"/>
        <v>0.60804519886175634</v>
      </c>
      <c r="L143" s="80">
        <f t="shared" si="56"/>
        <v>0.66908659254847458</v>
      </c>
      <c r="M143" s="80">
        <f t="shared" si="56"/>
        <v>0.6886158427635497</v>
      </c>
      <c r="N143" s="80">
        <f t="shared" si="56"/>
        <v>0.66283492158030577</v>
      </c>
      <c r="O143" s="80">
        <f t="shared" si="56"/>
        <v>0.64219452716564096</v>
      </c>
      <c r="AB143" s="77">
        <v>171</v>
      </c>
      <c r="AC143" t="s">
        <v>1795</v>
      </c>
      <c r="AD143">
        <v>0.9840000000000001</v>
      </c>
      <c r="AE143">
        <v>0.9839</v>
      </c>
      <c r="AF143">
        <v>0.82340000000000002</v>
      </c>
      <c r="AG143">
        <v>0.9839</v>
      </c>
      <c r="AH143">
        <v>0.89659999999999995</v>
      </c>
      <c r="AI143">
        <v>0.96819999999999995</v>
      </c>
      <c r="AJ143">
        <v>0.98629999999999995</v>
      </c>
      <c r="AK143">
        <v>0</v>
      </c>
      <c r="AL143">
        <v>0</v>
      </c>
      <c r="AM143">
        <v>0</v>
      </c>
      <c r="AN143">
        <v>0</v>
      </c>
      <c r="AO143">
        <v>0</v>
      </c>
      <c r="AP143"/>
      <c r="AQ143"/>
      <c r="AR143"/>
      <c r="AS143"/>
      <c r="AT143"/>
      <c r="AU143"/>
      <c r="AV143"/>
      <c r="AW143"/>
      <c r="AX143"/>
      <c r="AY143"/>
      <c r="AZ143"/>
      <c r="BA143"/>
      <c r="BB143"/>
    </row>
    <row r="144" spans="1:66" x14ac:dyDescent="0.2">
      <c r="A144" s="81" t="s">
        <v>426</v>
      </c>
      <c r="B144" s="84">
        <v>4764</v>
      </c>
      <c r="C144" s="83">
        <v>42238</v>
      </c>
      <c r="D144" s="83">
        <v>42239</v>
      </c>
      <c r="E144" s="82" t="s">
        <v>502</v>
      </c>
      <c r="F144" s="81" t="s">
        <v>149</v>
      </c>
      <c r="G144" s="80">
        <f t="shared" ref="G144:O144" si="57">G14/$B144/8760</f>
        <v>0</v>
      </c>
      <c r="H144" s="80">
        <f t="shared" si="57"/>
        <v>0</v>
      </c>
      <c r="I144" s="80">
        <f t="shared" si="57"/>
        <v>0</v>
      </c>
      <c r="J144" s="80">
        <f t="shared" si="57"/>
        <v>0</v>
      </c>
      <c r="K144" s="80">
        <f t="shared" si="57"/>
        <v>0</v>
      </c>
      <c r="L144" s="80">
        <f t="shared" si="57"/>
        <v>0</v>
      </c>
      <c r="M144" s="80">
        <f t="shared" si="57"/>
        <v>0</v>
      </c>
      <c r="N144" s="80">
        <f t="shared" si="57"/>
        <v>5.8186158364292313E-2</v>
      </c>
      <c r="O144" s="80">
        <f t="shared" si="57"/>
        <v>0.29630917190956529</v>
      </c>
      <c r="AB144" s="77">
        <v>1323</v>
      </c>
      <c r="AC144" t="s">
        <v>1796</v>
      </c>
      <c r="AD144">
        <v>0.98120000000000007</v>
      </c>
      <c r="AE144">
        <v>0.94200000000000006</v>
      </c>
      <c r="AF144">
        <v>0.98129999999999995</v>
      </c>
      <c r="AG144">
        <v>0.96810000000000007</v>
      </c>
      <c r="AH144">
        <v>0.97809999999999997</v>
      </c>
      <c r="AI144">
        <v>0.9516</v>
      </c>
      <c r="AJ144">
        <v>0.88120000000000009</v>
      </c>
      <c r="AK144">
        <v>0.98069999999999991</v>
      </c>
      <c r="AL144">
        <v>0.96889999999999998</v>
      </c>
      <c r="AM144">
        <v>0.95810000000000006</v>
      </c>
      <c r="AN144">
        <v>0.95550000000000002</v>
      </c>
      <c r="AO144">
        <v>0.95700000000000007</v>
      </c>
      <c r="AP144"/>
      <c r="AQ144"/>
      <c r="AR144"/>
      <c r="AS144"/>
      <c r="AT144"/>
      <c r="AU144"/>
      <c r="AV144"/>
      <c r="AW144"/>
      <c r="AX144"/>
      <c r="AY144"/>
      <c r="AZ144"/>
      <c r="BA144"/>
      <c r="BB144"/>
    </row>
    <row r="145" spans="1:54" x14ac:dyDescent="0.2">
      <c r="A145" s="81" t="s">
        <v>418</v>
      </c>
      <c r="B145" s="84">
        <v>3510</v>
      </c>
      <c r="C145" s="83">
        <v>31199</v>
      </c>
      <c r="D145" s="83">
        <v>31199</v>
      </c>
      <c r="E145" s="82" t="s">
        <v>501</v>
      </c>
      <c r="F145" s="81" t="s">
        <v>149</v>
      </c>
      <c r="G145" s="80">
        <f t="shared" ref="G145:O145" si="58">G15/$B145/8760</f>
        <v>0.64551034877518898</v>
      </c>
      <c r="H145" s="80">
        <f t="shared" si="58"/>
        <v>0.62012973370279301</v>
      </c>
      <c r="I145" s="80">
        <f t="shared" si="58"/>
        <v>0.66687760995980183</v>
      </c>
      <c r="J145" s="80">
        <f t="shared" si="58"/>
        <v>0.62790490965148493</v>
      </c>
      <c r="K145" s="80">
        <f t="shared" si="58"/>
        <v>0.58878410022245642</v>
      </c>
      <c r="L145" s="80">
        <f t="shared" si="58"/>
        <v>0.66979445550221806</v>
      </c>
      <c r="M145" s="80">
        <f t="shared" si="58"/>
        <v>0.59786809376992023</v>
      </c>
      <c r="N145" s="80">
        <f t="shared" si="58"/>
        <v>0.52129948353692646</v>
      </c>
      <c r="O145" s="80">
        <f t="shared" si="58"/>
        <v>0.54413876204972089</v>
      </c>
      <c r="AB145" s="77">
        <v>735</v>
      </c>
      <c r="AC145" t="s">
        <v>1797</v>
      </c>
      <c r="AD145">
        <v>0.95879999999999999</v>
      </c>
      <c r="AE145">
        <v>0.94030000000000002</v>
      </c>
      <c r="AF145">
        <v>0.97699999999999998</v>
      </c>
      <c r="AG145">
        <v>0.97439999999999993</v>
      </c>
      <c r="AH145">
        <v>0.98</v>
      </c>
      <c r="AI145">
        <v>0.91559999999999997</v>
      </c>
      <c r="AJ145">
        <v>0.9163</v>
      </c>
      <c r="AK145">
        <v>0.97459999999999991</v>
      </c>
      <c r="AL145">
        <v>0.96019999999999994</v>
      </c>
      <c r="AM145">
        <v>0.95519999999999994</v>
      </c>
      <c r="AN145">
        <v>0.95480000000000009</v>
      </c>
      <c r="AO145">
        <v>0.95650000000000002</v>
      </c>
      <c r="AP145"/>
      <c r="AQ145"/>
      <c r="AR145"/>
      <c r="AS145"/>
      <c r="AT145"/>
      <c r="AU145"/>
      <c r="AV145"/>
      <c r="AW145"/>
      <c r="AX145"/>
      <c r="AY145"/>
      <c r="AZ145"/>
      <c r="BA145"/>
      <c r="BB145"/>
    </row>
    <row r="146" spans="1:54" x14ac:dyDescent="0.2">
      <c r="A146" s="81" t="s">
        <v>470</v>
      </c>
      <c r="B146" s="84">
        <v>1600</v>
      </c>
      <c r="C146" s="83">
        <v>24462</v>
      </c>
      <c r="D146" s="83">
        <v>38504</v>
      </c>
      <c r="E146" s="82" t="s">
        <v>500</v>
      </c>
      <c r="F146" s="81" t="s">
        <v>149</v>
      </c>
      <c r="G146" s="80">
        <f t="shared" ref="G146:O146" si="59">G30/$B146/8760</f>
        <v>0.53311001712328765</v>
      </c>
      <c r="H146" s="80">
        <f t="shared" si="59"/>
        <v>0.5344489155251142</v>
      </c>
      <c r="I146" s="80">
        <f t="shared" si="59"/>
        <v>0.51852511415525115</v>
      </c>
      <c r="J146" s="80">
        <f t="shared" si="59"/>
        <v>0.59787307363013698</v>
      </c>
      <c r="K146" s="80">
        <f t="shared" si="59"/>
        <v>0.62265575057077616</v>
      </c>
      <c r="L146" s="80">
        <f t="shared" si="59"/>
        <v>0.5947567779680365</v>
      </c>
      <c r="M146" s="80">
        <f t="shared" si="59"/>
        <v>0.56706421232876714</v>
      </c>
      <c r="N146" s="80">
        <f t="shared" si="59"/>
        <v>0.55391937785388123</v>
      </c>
      <c r="O146" s="80">
        <f t="shared" si="59"/>
        <v>0.48358497431506853</v>
      </c>
      <c r="AB146" s="77">
        <v>171</v>
      </c>
      <c r="AC146" t="s">
        <v>1798</v>
      </c>
      <c r="AD146">
        <v>0.97709999999999997</v>
      </c>
      <c r="AE146">
        <v>0.93069999999999997</v>
      </c>
      <c r="AF146">
        <v>0.92459999999999998</v>
      </c>
      <c r="AG146">
        <v>0.92620000000000002</v>
      </c>
      <c r="AH146">
        <v>0.98140000000000005</v>
      </c>
      <c r="AI146">
        <v>0.96160000000000001</v>
      </c>
      <c r="AJ146">
        <v>0.97909999999999997</v>
      </c>
      <c r="AK146">
        <v>0</v>
      </c>
      <c r="AL146">
        <v>0</v>
      </c>
      <c r="AM146">
        <v>0</v>
      </c>
      <c r="AN146">
        <v>0</v>
      </c>
      <c r="AO146">
        <v>0</v>
      </c>
      <c r="AP146"/>
      <c r="AQ146"/>
      <c r="AR146"/>
      <c r="AS146"/>
      <c r="AT146"/>
      <c r="AU146"/>
      <c r="AV146"/>
      <c r="AW146"/>
      <c r="AX146"/>
      <c r="AY146"/>
      <c r="AZ146"/>
      <c r="BA146"/>
      <c r="BB146"/>
    </row>
    <row r="147" spans="1:54" x14ac:dyDescent="0.2">
      <c r="A147" s="81" t="s">
        <v>405</v>
      </c>
      <c r="B147" s="84">
        <v>1200</v>
      </c>
      <c r="C147" s="83">
        <v>25384</v>
      </c>
      <c r="D147" s="83">
        <v>25384</v>
      </c>
      <c r="E147" s="82" t="s">
        <v>499</v>
      </c>
      <c r="F147" s="81" t="s">
        <v>149</v>
      </c>
      <c r="G147" s="80">
        <f t="shared" ref="G147:O147" si="60">G31/$B147/8760</f>
        <v>0.25268550228310505</v>
      </c>
      <c r="H147" s="80">
        <f t="shared" si="60"/>
        <v>0.3374193302891933</v>
      </c>
      <c r="I147" s="80">
        <f t="shared" si="60"/>
        <v>0.57980498477929976</v>
      </c>
      <c r="J147" s="80">
        <f t="shared" si="60"/>
        <v>0.52237252663622524</v>
      </c>
      <c r="K147" s="80">
        <f t="shared" si="60"/>
        <v>0.69881725646879755</v>
      </c>
      <c r="L147" s="80">
        <f t="shared" si="60"/>
        <v>0.58449457762557078</v>
      </c>
      <c r="M147" s="80">
        <f t="shared" si="60"/>
        <v>0.50165848554033488</v>
      </c>
      <c r="N147" s="80">
        <f t="shared" si="60"/>
        <v>0.43238527397260273</v>
      </c>
      <c r="O147" s="80">
        <f t="shared" si="60"/>
        <v>0.31347203196347029</v>
      </c>
      <c r="AB147" s="77">
        <v>360</v>
      </c>
      <c r="AC147" t="s">
        <v>1799</v>
      </c>
      <c r="AD147">
        <v>0.98769999999999991</v>
      </c>
      <c r="AE147">
        <v>0.9595999999999999</v>
      </c>
      <c r="AF147">
        <v>0.89939999999999998</v>
      </c>
      <c r="AG147">
        <v>0.98750000000000004</v>
      </c>
      <c r="AH147">
        <v>0.96950000000000003</v>
      </c>
      <c r="AI147">
        <v>0.91949999999999998</v>
      </c>
      <c r="AJ147">
        <v>0.96900000000000008</v>
      </c>
      <c r="AK147">
        <v>0.9294</v>
      </c>
      <c r="AL147">
        <v>0.89400000000000002</v>
      </c>
      <c r="AM147">
        <v>0.94609999999999994</v>
      </c>
      <c r="AN147">
        <v>0.9415</v>
      </c>
      <c r="AO147">
        <v>0.9395</v>
      </c>
      <c r="AP147"/>
      <c r="AQ147"/>
      <c r="AR147"/>
      <c r="AS147"/>
      <c r="AT147"/>
      <c r="AU147"/>
      <c r="AV147"/>
      <c r="AW147"/>
      <c r="AX147"/>
      <c r="AY147"/>
      <c r="AZ147"/>
      <c r="BA147"/>
      <c r="BB147"/>
    </row>
    <row r="148" spans="1:54" x14ac:dyDescent="0.2">
      <c r="A148" s="81" t="s">
        <v>406</v>
      </c>
      <c r="B148" s="84">
        <v>1000</v>
      </c>
      <c r="C148" s="83">
        <v>22591</v>
      </c>
      <c r="D148" s="83">
        <v>22591</v>
      </c>
      <c r="E148" s="82" t="s">
        <v>498</v>
      </c>
      <c r="F148" s="81" t="s">
        <v>149</v>
      </c>
      <c r="G148" s="80">
        <f t="shared" ref="G148:O148" si="61">G32/$B148/8760</f>
        <v>0.11598436073059361</v>
      </c>
      <c r="H148" s="80">
        <f t="shared" si="61"/>
        <v>0.23517591324200915</v>
      </c>
      <c r="I148" s="80">
        <f t="shared" si="61"/>
        <v>0.27375936073059359</v>
      </c>
      <c r="J148" s="80">
        <f t="shared" si="61"/>
        <v>0.46850513698630131</v>
      </c>
      <c r="K148" s="80">
        <f t="shared" si="61"/>
        <v>0.57754052511415521</v>
      </c>
      <c r="L148" s="80">
        <f t="shared" si="61"/>
        <v>0.46416426940639272</v>
      </c>
      <c r="M148" s="80">
        <f t="shared" si="61"/>
        <v>0.48422511415525116</v>
      </c>
      <c r="N148" s="80">
        <f t="shared" si="61"/>
        <v>0.47072168949771687</v>
      </c>
      <c r="O148" s="80">
        <f t="shared" si="61"/>
        <v>0.25222522831050226</v>
      </c>
      <c r="AB148" s="77">
        <v>240</v>
      </c>
      <c r="AC148" t="s">
        <v>1816</v>
      </c>
      <c r="AD148">
        <v>0.94730000000000003</v>
      </c>
      <c r="AE148">
        <v>0.98870000000000002</v>
      </c>
      <c r="AF148">
        <v>0.88950000000000007</v>
      </c>
      <c r="AG148">
        <v>0.84439999999999993</v>
      </c>
      <c r="AH148">
        <v>0.98849999999999993</v>
      </c>
      <c r="AI148">
        <v>0.97609999999999997</v>
      </c>
      <c r="AJ148">
        <v>0.98450000000000004</v>
      </c>
      <c r="AK148">
        <v>0.97909999999999997</v>
      </c>
      <c r="AL148">
        <v>0.95730000000000004</v>
      </c>
      <c r="AM148">
        <v>0.95050000000000001</v>
      </c>
      <c r="AN148">
        <v>0.95090000000000008</v>
      </c>
      <c r="AO148">
        <v>0.94669999999999999</v>
      </c>
      <c r="AP148"/>
      <c r="AQ148"/>
      <c r="AR148"/>
      <c r="AS148"/>
      <c r="AT148"/>
      <c r="AU148"/>
      <c r="AV148"/>
      <c r="AW148"/>
      <c r="AX148"/>
      <c r="AY148"/>
      <c r="AZ148"/>
      <c r="BA148"/>
      <c r="BB148"/>
    </row>
    <row r="149" spans="1:54" x14ac:dyDescent="0.2">
      <c r="A149" s="77" t="s">
        <v>497</v>
      </c>
      <c r="G149" s="79" t="e">
        <f t="shared" ref="G149:O149" si="62">SUMPRODUCT($B$135:$B$148,G135:G148,$P$65:$P$79)/SUMPRODUCT($B$135:$B$148,$P$65:$P$79)</f>
        <v>#VALUE!</v>
      </c>
      <c r="H149" s="79" t="e">
        <f t="shared" si="62"/>
        <v>#VALUE!</v>
      </c>
      <c r="I149" s="79" t="e">
        <f t="shared" si="62"/>
        <v>#VALUE!</v>
      </c>
      <c r="J149" s="79" t="e">
        <f t="shared" si="62"/>
        <v>#VALUE!</v>
      </c>
      <c r="K149" s="79" t="e">
        <f t="shared" si="62"/>
        <v>#VALUE!</v>
      </c>
      <c r="L149" s="79" t="e">
        <f t="shared" si="62"/>
        <v>#VALUE!</v>
      </c>
      <c r="M149" s="79" t="e">
        <f t="shared" si="62"/>
        <v>#VALUE!</v>
      </c>
      <c r="N149" s="79" t="e">
        <f t="shared" si="62"/>
        <v>#VALUE!</v>
      </c>
      <c r="O149" s="79" t="e">
        <f t="shared" si="62"/>
        <v>#VALUE!</v>
      </c>
      <c r="AB149" s="77">
        <v>1000</v>
      </c>
      <c r="AC149" t="s">
        <v>1800</v>
      </c>
      <c r="AD149">
        <v>0.75360000000000005</v>
      </c>
      <c r="AE149">
        <v>0.84719999999999995</v>
      </c>
      <c r="AF149">
        <v>0.81290000000000007</v>
      </c>
      <c r="AG149">
        <v>0.91090000000000004</v>
      </c>
      <c r="AH149">
        <v>0.90049999999999997</v>
      </c>
      <c r="AI149">
        <v>0.83219999999999994</v>
      </c>
      <c r="AJ149">
        <v>0.89900000000000002</v>
      </c>
      <c r="AK149">
        <v>0.8590000000000001</v>
      </c>
      <c r="AL149">
        <v>0.86069999999999991</v>
      </c>
      <c r="AM149">
        <v>0.85309999999999997</v>
      </c>
      <c r="AN149">
        <v>0.86430000000000007</v>
      </c>
      <c r="AO149">
        <v>0.86529999999999996</v>
      </c>
      <c r="AP149"/>
      <c r="AQ149"/>
      <c r="AR149"/>
      <c r="AS149"/>
      <c r="AT149"/>
      <c r="AU149"/>
      <c r="AV149"/>
      <c r="AW149"/>
      <c r="AX149"/>
      <c r="AY149"/>
      <c r="AZ149"/>
      <c r="BA149"/>
      <c r="BB149"/>
    </row>
    <row r="150" spans="1:54" x14ac:dyDescent="0.2">
      <c r="AB150" s="77">
        <v>1332</v>
      </c>
      <c r="AC150" t="s">
        <v>1801</v>
      </c>
      <c r="AD150">
        <v>0.93279999999999996</v>
      </c>
      <c r="AE150">
        <v>0.98919999999999997</v>
      </c>
      <c r="AF150">
        <v>0.94370000000000009</v>
      </c>
      <c r="AG150">
        <v>0.94709999999999994</v>
      </c>
      <c r="AH150">
        <v>0.97349999999999992</v>
      </c>
      <c r="AI150">
        <v>0.90849999999999997</v>
      </c>
      <c r="AJ150">
        <v>0.91390000000000005</v>
      </c>
      <c r="AK150">
        <v>0.90680000000000005</v>
      </c>
      <c r="AL150">
        <v>0.90540000000000009</v>
      </c>
      <c r="AM150">
        <v>0.93559999999999999</v>
      </c>
      <c r="AN150">
        <v>0.93599999999999994</v>
      </c>
      <c r="AO150">
        <v>0.93</v>
      </c>
      <c r="AP150"/>
      <c r="AQ150"/>
      <c r="AR150"/>
      <c r="AS150"/>
      <c r="AT150"/>
      <c r="AU150"/>
      <c r="AV150"/>
      <c r="AW150"/>
      <c r="AX150"/>
      <c r="AY150"/>
      <c r="AZ150"/>
      <c r="BA150"/>
      <c r="BB150"/>
    </row>
    <row r="151" spans="1:54" x14ac:dyDescent="0.2">
      <c r="AB151" s="77">
        <v>400</v>
      </c>
      <c r="AC151" t="s">
        <v>1802</v>
      </c>
      <c r="AD151">
        <v>0.86049999999999993</v>
      </c>
      <c r="AE151">
        <v>0.98829999999999996</v>
      </c>
      <c r="AF151">
        <v>0.94450000000000001</v>
      </c>
      <c r="AG151">
        <v>0.87890000000000001</v>
      </c>
      <c r="AH151">
        <v>0.98799999999999999</v>
      </c>
      <c r="AI151">
        <v>0.88919999999999999</v>
      </c>
      <c r="AJ151">
        <v>0.97499999999999998</v>
      </c>
      <c r="AK151">
        <v>0.92849999999999999</v>
      </c>
      <c r="AL151">
        <v>0.92900000000000005</v>
      </c>
      <c r="AM151">
        <v>0.93110000000000004</v>
      </c>
      <c r="AN151">
        <v>0.93900000000000006</v>
      </c>
      <c r="AO151">
        <v>0.93359999999999999</v>
      </c>
      <c r="AP151"/>
      <c r="AQ151"/>
      <c r="AR151"/>
      <c r="AS151"/>
      <c r="AT151"/>
      <c r="AU151"/>
      <c r="AV151"/>
      <c r="AW151"/>
      <c r="AX151"/>
      <c r="AY151"/>
      <c r="AZ151"/>
      <c r="BA151"/>
      <c r="BB151"/>
    </row>
    <row r="152" spans="1:54" x14ac:dyDescent="0.2">
      <c r="AB152" s="77">
        <f>670+335</f>
        <v>1005</v>
      </c>
      <c r="AC152" t="s">
        <v>1803</v>
      </c>
      <c r="AD152">
        <v>0.91790000000000005</v>
      </c>
      <c r="AE152">
        <v>0.94340000000000002</v>
      </c>
      <c r="AF152">
        <v>0.92469999999999997</v>
      </c>
      <c r="AG152">
        <v>0.94310000000000005</v>
      </c>
      <c r="AH152">
        <v>0.96200000000000008</v>
      </c>
      <c r="AI152">
        <v>0.91599999999999993</v>
      </c>
      <c r="AJ152">
        <v>0.91879999999999995</v>
      </c>
      <c r="AK152">
        <v>0.93180000000000007</v>
      </c>
      <c r="AL152">
        <v>0.92110000000000003</v>
      </c>
      <c r="AM152">
        <v>0.92959999999999998</v>
      </c>
      <c r="AN152">
        <v>0.93129999999999991</v>
      </c>
      <c r="AO152">
        <v>0.92989999999999995</v>
      </c>
      <c r="AP152"/>
      <c r="AQ152"/>
      <c r="AR152"/>
      <c r="AS152"/>
      <c r="AT152"/>
      <c r="AU152"/>
      <c r="AV152"/>
      <c r="AW152"/>
      <c r="AX152"/>
      <c r="AY152"/>
      <c r="AZ152"/>
      <c r="BA152"/>
      <c r="BB152"/>
    </row>
    <row r="153" spans="1:54" x14ac:dyDescent="0.2">
      <c r="B153" s="77" t="s">
        <v>496</v>
      </c>
      <c r="AC153" t="s">
        <v>1804</v>
      </c>
      <c r="AD153">
        <v>0.84160000000000001</v>
      </c>
      <c r="AE153">
        <v>0.82959999999999989</v>
      </c>
      <c r="AF153">
        <v>0.70319999999999994</v>
      </c>
      <c r="AG153">
        <v>0.90079999999999993</v>
      </c>
      <c r="AH153">
        <v>0.86459999999999992</v>
      </c>
      <c r="AI153">
        <v>0.74930000000000008</v>
      </c>
      <c r="AJ153">
        <v>0.90040000000000009</v>
      </c>
      <c r="AK153">
        <v>0.89500000000000002</v>
      </c>
      <c r="AL153">
        <v>0.92110000000000003</v>
      </c>
      <c r="AM153">
        <v>0.84499999999999997</v>
      </c>
      <c r="AN153">
        <v>0.84540000000000004</v>
      </c>
      <c r="AO153">
        <v>0.84719999999999995</v>
      </c>
      <c r="AP153"/>
      <c r="AQ153"/>
      <c r="AR153"/>
      <c r="AS153"/>
      <c r="AT153"/>
      <c r="AU153"/>
      <c r="AV153"/>
      <c r="AW153"/>
      <c r="AX153"/>
      <c r="AY153"/>
      <c r="AZ153"/>
      <c r="BA153"/>
      <c r="BB153"/>
    </row>
    <row r="154" spans="1:54" x14ac:dyDescent="0.2">
      <c r="AC154" t="s">
        <v>1805</v>
      </c>
      <c r="AD154">
        <v>0.84160000000000001</v>
      </c>
      <c r="AE154">
        <v>0.82959999999999989</v>
      </c>
      <c r="AF154">
        <v>0.70319999999999994</v>
      </c>
      <c r="AG154">
        <v>0.90079999999999993</v>
      </c>
      <c r="AH154">
        <v>0.86459999999999992</v>
      </c>
      <c r="AI154">
        <v>0.74930000000000008</v>
      </c>
      <c r="AJ154">
        <v>0.90040000000000009</v>
      </c>
      <c r="AK154">
        <v>0.89500000000000002</v>
      </c>
      <c r="AL154">
        <v>0.92110000000000003</v>
      </c>
      <c r="AM154">
        <v>0.84499999999999997</v>
      </c>
      <c r="AN154">
        <v>0.84540000000000004</v>
      </c>
      <c r="AO154">
        <v>0.84719999999999995</v>
      </c>
      <c r="AP154"/>
      <c r="AQ154"/>
      <c r="AR154"/>
      <c r="AS154"/>
      <c r="AT154"/>
      <c r="AU154"/>
      <c r="AV154"/>
      <c r="AW154"/>
      <c r="AX154"/>
      <c r="AY154"/>
      <c r="AZ154"/>
      <c r="BA154"/>
      <c r="BB154"/>
    </row>
    <row r="155" spans="1:54" x14ac:dyDescent="0.2">
      <c r="B155" s="45" t="s">
        <v>495</v>
      </c>
      <c r="C155" s="45">
        <v>800</v>
      </c>
      <c r="D155" s="45">
        <v>794</v>
      </c>
      <c r="AC155" t="s">
        <v>301</v>
      </c>
      <c r="AD155">
        <v>0.65060000000000007</v>
      </c>
      <c r="AE155">
        <v>0.62439999999999996</v>
      </c>
      <c r="AF155">
        <v>0.65359999999999996</v>
      </c>
      <c r="AG155">
        <v>0.62270000000000003</v>
      </c>
      <c r="AH155">
        <v>0.62819999999999998</v>
      </c>
      <c r="AI155">
        <v>0.65480000000000005</v>
      </c>
      <c r="AJ155">
        <v>0.69370000000000009</v>
      </c>
      <c r="AK155">
        <v>0.67420000000000002</v>
      </c>
      <c r="AL155">
        <v>0.60799999999999998</v>
      </c>
      <c r="AM155">
        <v>0.5454</v>
      </c>
      <c r="AN155">
        <v>0.54579999999999995</v>
      </c>
      <c r="AO155">
        <v>0</v>
      </c>
      <c r="AP155"/>
      <c r="AQ155"/>
      <c r="AR155"/>
      <c r="AS155"/>
      <c r="AT155"/>
      <c r="AU155"/>
      <c r="AV155"/>
      <c r="AW155"/>
      <c r="AX155"/>
      <c r="AY155"/>
      <c r="AZ155"/>
      <c r="BA155"/>
      <c r="BB155"/>
    </row>
    <row r="156" spans="1:54" x14ac:dyDescent="0.2">
      <c r="B156" s="45" t="s">
        <v>494</v>
      </c>
      <c r="C156" s="45">
        <f>C155/48%</f>
        <v>1666.6666666666667</v>
      </c>
      <c r="D156" s="45"/>
      <c r="AC156" t="s">
        <v>299</v>
      </c>
      <c r="AD156">
        <v>0.54479999999999995</v>
      </c>
      <c r="AE156">
        <v>0.49670000000000003</v>
      </c>
      <c r="AF156">
        <v>0.60159999999999991</v>
      </c>
      <c r="AG156">
        <v>0.56920000000000004</v>
      </c>
      <c r="AH156">
        <v>0.62819999999999998</v>
      </c>
      <c r="AI156">
        <v>0.61119999999999997</v>
      </c>
      <c r="AJ156">
        <v>0.67220000000000002</v>
      </c>
      <c r="AK156">
        <v>0.63649999999999995</v>
      </c>
      <c r="AL156">
        <v>0.59439999999999993</v>
      </c>
      <c r="AM156">
        <v>0.60909999999999997</v>
      </c>
      <c r="AN156">
        <v>0.60209999999999997</v>
      </c>
      <c r="AO156">
        <v>0.59799999999999998</v>
      </c>
      <c r="AP156"/>
      <c r="AQ156"/>
      <c r="AR156"/>
      <c r="AS156"/>
      <c r="AT156"/>
      <c r="AU156"/>
      <c r="AV156"/>
      <c r="AW156"/>
      <c r="AX156"/>
      <c r="AY156"/>
      <c r="AZ156"/>
      <c r="BA156"/>
      <c r="BB156"/>
    </row>
    <row r="157" spans="1:54" x14ac:dyDescent="0.2">
      <c r="B157" s="45" t="s">
        <v>493</v>
      </c>
      <c r="C157" s="78">
        <f>C155/C156</f>
        <v>0.48</v>
      </c>
      <c r="D157" s="45"/>
      <c r="AC157" s="330" t="s">
        <v>297</v>
      </c>
      <c r="AD157">
        <v>0.60929999999999995</v>
      </c>
      <c r="AE157">
        <v>0.55959999999999999</v>
      </c>
      <c r="AF157">
        <v>0.69349999999999989</v>
      </c>
      <c r="AG157" s="341">
        <f>AF157</f>
        <v>0.69349999999999989</v>
      </c>
      <c r="AH157" s="341">
        <f>AG157</f>
        <v>0.69349999999999989</v>
      </c>
      <c r="AI157" s="341">
        <f>AH157</f>
        <v>0.69349999999999989</v>
      </c>
      <c r="AJ157">
        <v>0</v>
      </c>
      <c r="AK157">
        <v>0</v>
      </c>
      <c r="AL157">
        <v>0</v>
      </c>
      <c r="AM157">
        <v>0</v>
      </c>
      <c r="AN157">
        <v>0</v>
      </c>
      <c r="AO157">
        <v>0</v>
      </c>
      <c r="AP157"/>
      <c r="AQ157"/>
      <c r="AR157"/>
      <c r="AS157"/>
      <c r="AT157"/>
      <c r="AU157"/>
      <c r="AV157"/>
      <c r="AW157"/>
      <c r="AX157"/>
      <c r="AY157"/>
      <c r="AZ157"/>
      <c r="BA157"/>
      <c r="BB157"/>
    </row>
    <row r="158" spans="1:54" x14ac:dyDescent="0.2">
      <c r="B158" s="45" t="s">
        <v>492</v>
      </c>
      <c r="C158" s="45">
        <f>C155*0.99</f>
        <v>792</v>
      </c>
      <c r="D158" s="45"/>
      <c r="AC158" t="s">
        <v>295</v>
      </c>
      <c r="AD158">
        <v>0.69099999999999995</v>
      </c>
      <c r="AE158">
        <v>0.71340000000000003</v>
      </c>
      <c r="AF158">
        <v>0.65469999999999995</v>
      </c>
      <c r="AG158">
        <v>0.73170000000000002</v>
      </c>
      <c r="AH158">
        <v>0.69030000000000002</v>
      </c>
      <c r="AI158">
        <v>0.74140000000000006</v>
      </c>
      <c r="AJ158">
        <v>0.75360000000000005</v>
      </c>
      <c r="AK158">
        <v>0.69409999999999994</v>
      </c>
      <c r="AL158">
        <v>0.79330000000000001</v>
      </c>
      <c r="AM158">
        <v>0.73640000000000005</v>
      </c>
      <c r="AN158">
        <v>0.72939999999999994</v>
      </c>
      <c r="AO158">
        <v>0.72530000000000006</v>
      </c>
      <c r="AP158"/>
      <c r="AQ158"/>
      <c r="AR158"/>
      <c r="AS158"/>
      <c r="AT158"/>
      <c r="AU158"/>
      <c r="AV158"/>
      <c r="AW158"/>
      <c r="AX158"/>
      <c r="AY158"/>
      <c r="AZ158"/>
      <c r="BA158"/>
      <c r="BB158"/>
    </row>
    <row r="159" spans="1:54" x14ac:dyDescent="0.2">
      <c r="B159" s="45" t="s">
        <v>491</v>
      </c>
      <c r="C159" s="78">
        <f>C158/C156</f>
        <v>0.47519999999999996</v>
      </c>
      <c r="D159" s="45"/>
      <c r="AC159" t="s">
        <v>293</v>
      </c>
      <c r="AD159">
        <v>0.54100000000000004</v>
      </c>
      <c r="AE159">
        <v>0.63419999999999999</v>
      </c>
      <c r="AF159">
        <v>0.54630000000000001</v>
      </c>
      <c r="AG159">
        <v>0.51390000000000002</v>
      </c>
      <c r="AH159">
        <v>0.65200000000000002</v>
      </c>
      <c r="AI159">
        <v>0.64439999999999997</v>
      </c>
      <c r="AJ159">
        <v>0.65390000000000004</v>
      </c>
      <c r="AK159">
        <v>0.68889999999999996</v>
      </c>
      <c r="AL159">
        <v>0.51119999999999999</v>
      </c>
      <c r="AM159">
        <v>0.60539999999999994</v>
      </c>
      <c r="AN159">
        <v>0.64150000000000007</v>
      </c>
      <c r="AO159">
        <v>0</v>
      </c>
      <c r="AP159"/>
      <c r="AQ159"/>
      <c r="AR159"/>
      <c r="AS159"/>
      <c r="AT159"/>
      <c r="AU159"/>
      <c r="AV159"/>
      <c r="AW159"/>
      <c r="AX159"/>
      <c r="AY159"/>
      <c r="AZ159"/>
      <c r="BA159"/>
      <c r="BB159"/>
    </row>
    <row r="160" spans="1:54" x14ac:dyDescent="0.2">
      <c r="B160" s="45" t="s">
        <v>490</v>
      </c>
      <c r="C160" s="45">
        <f>C155*(1-8.8%)</f>
        <v>729.6</v>
      </c>
      <c r="D160" s="45">
        <f>D155/C155*C160</f>
        <v>724.12800000000004</v>
      </c>
      <c r="AC160" t="s">
        <v>291</v>
      </c>
      <c r="AD160">
        <v>0.73980000000000001</v>
      </c>
      <c r="AE160">
        <v>0.7238</v>
      </c>
      <c r="AF160">
        <v>0.75609999999999999</v>
      </c>
      <c r="AG160">
        <v>0.71</v>
      </c>
      <c r="AH160">
        <v>0.70409999999999995</v>
      </c>
      <c r="AI160">
        <v>0.74879999999999991</v>
      </c>
      <c r="AJ160">
        <v>0.68469999999999998</v>
      </c>
      <c r="AK160">
        <v>0.67909999999999993</v>
      </c>
      <c r="AL160">
        <v>0.68819999999999992</v>
      </c>
      <c r="AM160">
        <v>0.74060000000000004</v>
      </c>
      <c r="AN160">
        <v>0.73360000000000003</v>
      </c>
      <c r="AO160">
        <v>0.72950000000000004</v>
      </c>
      <c r="AP160"/>
      <c r="AQ160"/>
      <c r="AR160"/>
      <c r="AS160"/>
      <c r="AT160"/>
      <c r="AU160"/>
      <c r="AV160"/>
      <c r="AW160"/>
      <c r="AX160"/>
      <c r="AY160"/>
      <c r="AZ160"/>
      <c r="BA160"/>
      <c r="BB160"/>
    </row>
    <row r="161" spans="2:54" x14ac:dyDescent="0.2">
      <c r="B161" s="45" t="s">
        <v>489</v>
      </c>
      <c r="C161" s="78">
        <f>C160/C156</f>
        <v>0.43775999999999998</v>
      </c>
      <c r="D161" s="45"/>
      <c r="AC161" t="s">
        <v>1806</v>
      </c>
      <c r="AD161">
        <v>0.73049999999999993</v>
      </c>
      <c r="AE161">
        <v>0.74620000000000009</v>
      </c>
      <c r="AF161">
        <v>0.75319999999999998</v>
      </c>
      <c r="AG161">
        <v>0.72620000000000007</v>
      </c>
      <c r="AH161">
        <v>0.745</v>
      </c>
      <c r="AI161">
        <v>0.77040000000000008</v>
      </c>
      <c r="AJ161">
        <v>0.70129999999999992</v>
      </c>
      <c r="AK161">
        <v>0.72180000000000011</v>
      </c>
      <c r="AL161">
        <v>0.71930000000000005</v>
      </c>
      <c r="AM161">
        <v>0.71629999999999994</v>
      </c>
      <c r="AN161">
        <v>0.70930000000000004</v>
      </c>
      <c r="AO161">
        <v>0.70519999999999994</v>
      </c>
      <c r="AP161"/>
      <c r="AQ161"/>
      <c r="AR161"/>
      <c r="AS161"/>
      <c r="AT161"/>
      <c r="AU161"/>
      <c r="AV161"/>
      <c r="AW161"/>
      <c r="AX161"/>
      <c r="AY161"/>
      <c r="AZ161"/>
      <c r="BA161"/>
      <c r="BB161"/>
    </row>
    <row r="162" spans="2:54" x14ac:dyDescent="0.2">
      <c r="AC162" s="330" t="s">
        <v>285</v>
      </c>
      <c r="AD162">
        <v>0.82750000000000001</v>
      </c>
      <c r="AE162">
        <v>0.8014</v>
      </c>
      <c r="AF162">
        <v>0.81640000000000001</v>
      </c>
      <c r="AG162">
        <v>0.81120000000000003</v>
      </c>
      <c r="AH162">
        <v>0.81200000000000006</v>
      </c>
      <c r="AI162">
        <v>0.78370000000000006</v>
      </c>
      <c r="AJ162">
        <v>0.79349999999999998</v>
      </c>
      <c r="AK162">
        <v>0.78790000000000004</v>
      </c>
      <c r="AL162">
        <v>0.76450000000000007</v>
      </c>
      <c r="AM162">
        <v>0.80110000000000003</v>
      </c>
      <c r="AN162">
        <v>0.79409999999999992</v>
      </c>
      <c r="AO162">
        <v>0.79</v>
      </c>
      <c r="AP162"/>
      <c r="AQ162"/>
      <c r="AR162"/>
      <c r="AS162"/>
      <c r="AT162"/>
      <c r="AU162"/>
      <c r="AV162"/>
      <c r="AW162"/>
      <c r="AX162"/>
      <c r="AY162"/>
      <c r="AZ162"/>
      <c r="BA162"/>
      <c r="BB162"/>
    </row>
    <row r="163" spans="2:54" x14ac:dyDescent="0.2">
      <c r="AC163" t="s">
        <v>283</v>
      </c>
      <c r="AD163">
        <v>0.67299999999999993</v>
      </c>
      <c r="AE163">
        <v>0.6876000000000001</v>
      </c>
      <c r="AF163">
        <v>0.70739999999999992</v>
      </c>
      <c r="AG163">
        <v>0.7097</v>
      </c>
      <c r="AH163">
        <v>0.69489999999999996</v>
      </c>
      <c r="AI163">
        <v>0.70530000000000004</v>
      </c>
      <c r="AJ163">
        <v>0.6966</v>
      </c>
      <c r="AK163">
        <v>0.69099999999999995</v>
      </c>
      <c r="AL163">
        <v>0.75959999999999994</v>
      </c>
      <c r="AM163">
        <v>0.70369999999999999</v>
      </c>
      <c r="AN163">
        <v>0.69669999999999999</v>
      </c>
      <c r="AO163">
        <v>0.6926000000000001</v>
      </c>
      <c r="AP163"/>
      <c r="AQ163"/>
      <c r="AR163"/>
      <c r="AS163"/>
      <c r="AT163"/>
      <c r="AU163"/>
      <c r="AV163"/>
      <c r="AW163"/>
      <c r="AX163"/>
      <c r="AY163"/>
      <c r="AZ163"/>
      <c r="BA163"/>
      <c r="BB163"/>
    </row>
    <row r="164" spans="2:54" x14ac:dyDescent="0.2">
      <c r="AC164" t="s">
        <v>281</v>
      </c>
      <c r="AD164">
        <v>0.56059999999999999</v>
      </c>
      <c r="AE164">
        <v>0.56859999999999999</v>
      </c>
      <c r="AF164">
        <v>0.54049999999999998</v>
      </c>
      <c r="AG164">
        <v>0.59150000000000003</v>
      </c>
      <c r="AH164">
        <v>0.54920000000000002</v>
      </c>
      <c r="AI164">
        <v>0.61149999999999993</v>
      </c>
      <c r="AJ164">
        <v>0.57840000000000003</v>
      </c>
      <c r="AK164">
        <v>0.57369999999999999</v>
      </c>
      <c r="AL164">
        <v>0.62549999999999994</v>
      </c>
      <c r="AM164">
        <v>0.58779999999999999</v>
      </c>
      <c r="AN164">
        <v>0.58030000000000004</v>
      </c>
      <c r="AO164">
        <v>0.57669999999999999</v>
      </c>
      <c r="AP164"/>
      <c r="AQ164"/>
      <c r="AR164"/>
      <c r="AS164"/>
      <c r="AT164"/>
      <c r="AU164"/>
      <c r="AV164"/>
      <c r="AW164"/>
      <c r="AX164"/>
      <c r="AY164"/>
      <c r="AZ164"/>
      <c r="BA164"/>
      <c r="BB164"/>
    </row>
    <row r="165" spans="2:54" x14ac:dyDescent="0.2">
      <c r="AC165" t="s">
        <v>1807</v>
      </c>
      <c r="AD165">
        <v>0.66780000000000006</v>
      </c>
      <c r="AE165">
        <v>0.67180000000000006</v>
      </c>
      <c r="AF165">
        <v>0.67689999999999995</v>
      </c>
      <c r="AG165">
        <v>0.67530000000000001</v>
      </c>
      <c r="AH165">
        <v>0.68440000000000001</v>
      </c>
      <c r="AI165">
        <v>0.70409999999999995</v>
      </c>
      <c r="AJ165">
        <v>0.69459999999999988</v>
      </c>
      <c r="AK165">
        <v>0.68569999999999998</v>
      </c>
      <c r="AL165">
        <v>0.69480000000000008</v>
      </c>
      <c r="AM165">
        <v>0.69489999999999996</v>
      </c>
      <c r="AN165">
        <v>0.69430000000000003</v>
      </c>
      <c r="AO165">
        <v>0.69200000000000006</v>
      </c>
      <c r="AP165"/>
      <c r="AQ165"/>
      <c r="AR165"/>
      <c r="AS165"/>
      <c r="AT165"/>
      <c r="AU165"/>
      <c r="AV165"/>
      <c r="AW165"/>
      <c r="AX165"/>
      <c r="AY165"/>
      <c r="AZ165"/>
      <c r="BA165"/>
      <c r="BB165"/>
    </row>
    <row r="166" spans="2:54" x14ac:dyDescent="0.2">
      <c r="AC166" t="s">
        <v>307</v>
      </c>
      <c r="AD166">
        <v>0.6</v>
      </c>
      <c r="AE166">
        <v>0.55810000000000004</v>
      </c>
      <c r="AF166">
        <v>0.61240000000000006</v>
      </c>
      <c r="AG166">
        <v>0.64670000000000005</v>
      </c>
      <c r="AH166">
        <v>0.63060000000000005</v>
      </c>
      <c r="AI166" s="341">
        <f>AH166</f>
        <v>0.63060000000000005</v>
      </c>
      <c r="AJ166" s="341">
        <f>AI166</f>
        <v>0.63060000000000005</v>
      </c>
      <c r="AK166" s="341">
        <f>AJ166</f>
        <v>0.63060000000000005</v>
      </c>
      <c r="AL166" s="341">
        <f>AK166</f>
        <v>0.63060000000000005</v>
      </c>
      <c r="AM166">
        <v>0</v>
      </c>
      <c r="AN166">
        <v>0</v>
      </c>
      <c r="AO166">
        <v>0</v>
      </c>
      <c r="AP166"/>
      <c r="AQ166"/>
      <c r="AR166"/>
      <c r="AS166"/>
      <c r="AT166"/>
      <c r="AU166"/>
      <c r="AV166"/>
      <c r="AW166"/>
      <c r="AX166"/>
      <c r="AY166"/>
      <c r="AZ166"/>
      <c r="BA166"/>
      <c r="BB166"/>
    </row>
    <row r="167" spans="2:54" x14ac:dyDescent="0.2">
      <c r="AC167" t="s">
        <v>305</v>
      </c>
      <c r="AD167">
        <v>0.89150000000000007</v>
      </c>
      <c r="AE167" s="341">
        <f>AD167</f>
        <v>0.89150000000000007</v>
      </c>
      <c r="AF167" s="341">
        <f>AE167</f>
        <v>0.89150000000000007</v>
      </c>
      <c r="AG167">
        <v>0</v>
      </c>
      <c r="AH167">
        <v>0</v>
      </c>
      <c r="AI167">
        <v>0</v>
      </c>
      <c r="AJ167">
        <v>0</v>
      </c>
      <c r="AK167">
        <v>0</v>
      </c>
      <c r="AL167">
        <v>0</v>
      </c>
      <c r="AM167">
        <v>0</v>
      </c>
      <c r="AN167">
        <v>0</v>
      </c>
      <c r="AO167">
        <v>0</v>
      </c>
      <c r="AP167"/>
      <c r="AQ167"/>
      <c r="AR167"/>
      <c r="AS167"/>
      <c r="AT167"/>
      <c r="AU167"/>
      <c r="AV167"/>
      <c r="AW167"/>
      <c r="AX167"/>
      <c r="AY167"/>
      <c r="AZ167"/>
      <c r="BA167"/>
      <c r="BB167"/>
    </row>
    <row r="168" spans="2:54" x14ac:dyDescent="0.2">
      <c r="AC168" t="s">
        <v>303</v>
      </c>
      <c r="AD168">
        <v>0.87390000000000001</v>
      </c>
      <c r="AE168" s="341">
        <f>AD168</f>
        <v>0.87390000000000001</v>
      </c>
      <c r="AF168" s="341">
        <f>AE168</f>
        <v>0.87390000000000001</v>
      </c>
      <c r="AG168">
        <v>0</v>
      </c>
      <c r="AH168">
        <v>0</v>
      </c>
      <c r="AI168">
        <v>0</v>
      </c>
      <c r="AJ168">
        <v>0</v>
      </c>
      <c r="AK168">
        <v>0</v>
      </c>
      <c r="AL168">
        <v>0</v>
      </c>
      <c r="AM168">
        <v>0</v>
      </c>
      <c r="AN168">
        <v>0</v>
      </c>
      <c r="AO168">
        <v>0</v>
      </c>
      <c r="AP168"/>
      <c r="AQ168"/>
      <c r="AR168"/>
      <c r="AS168"/>
      <c r="AT168"/>
      <c r="AU168"/>
      <c r="AV168"/>
      <c r="AW168"/>
      <c r="AX168"/>
      <c r="AY168"/>
      <c r="AZ168"/>
      <c r="BA168"/>
      <c r="BB168"/>
    </row>
    <row r="169" spans="2:54" x14ac:dyDescent="0.2">
      <c r="AC169" t="s">
        <v>1808</v>
      </c>
      <c r="AD169">
        <v>0.6321</v>
      </c>
      <c r="AE169">
        <v>0.55810000000000004</v>
      </c>
      <c r="AF169">
        <v>0.61240000000000006</v>
      </c>
      <c r="AG169">
        <v>0.64670000000000005</v>
      </c>
      <c r="AH169">
        <v>0.63049999999999995</v>
      </c>
      <c r="AI169">
        <v>0</v>
      </c>
      <c r="AJ169">
        <v>0</v>
      </c>
      <c r="AK169">
        <v>0</v>
      </c>
      <c r="AL169">
        <v>0</v>
      </c>
      <c r="AM169">
        <v>0</v>
      </c>
      <c r="AN169">
        <v>0</v>
      </c>
      <c r="AO169">
        <v>0</v>
      </c>
      <c r="AP169"/>
      <c r="AQ169"/>
      <c r="AR169"/>
      <c r="AS169"/>
      <c r="AT169"/>
      <c r="AU169"/>
      <c r="AV169"/>
      <c r="AW169"/>
      <c r="AX169"/>
      <c r="AY169"/>
      <c r="AZ169"/>
      <c r="BA169"/>
      <c r="BB169"/>
    </row>
    <row r="170" spans="2:54" x14ac:dyDescent="0.2">
      <c r="AC170" t="s">
        <v>1809</v>
      </c>
      <c r="AD170">
        <v>0.71</v>
      </c>
      <c r="AE170">
        <v>0.71530000000000005</v>
      </c>
      <c r="AF170">
        <v>0.71400000000000008</v>
      </c>
      <c r="AG170">
        <v>0.72109999999999996</v>
      </c>
      <c r="AH170">
        <v>0.73629999999999995</v>
      </c>
      <c r="AI170">
        <v>0.73849999999999993</v>
      </c>
      <c r="AJ170">
        <v>0.73959999999999992</v>
      </c>
      <c r="AK170">
        <v>0.73360000000000003</v>
      </c>
      <c r="AL170">
        <v>0.74230000000000007</v>
      </c>
      <c r="AM170">
        <v>0.74060000000000004</v>
      </c>
      <c r="AN170">
        <v>0.74280000000000002</v>
      </c>
      <c r="AO170">
        <v>0.74309999999999998</v>
      </c>
      <c r="AP170"/>
      <c r="AQ170"/>
      <c r="AR170"/>
      <c r="AS170"/>
      <c r="AT170"/>
      <c r="AU170"/>
      <c r="AV170"/>
      <c r="AW170"/>
      <c r="AX170"/>
      <c r="AY170"/>
      <c r="AZ170"/>
      <c r="BA170"/>
      <c r="BB170"/>
    </row>
    <row r="171" spans="2:54" x14ac:dyDescent="0.2">
      <c r="AC171" t="s">
        <v>259</v>
      </c>
      <c r="AD171">
        <v>0.72</v>
      </c>
      <c r="AE171">
        <v>0.76549999999999996</v>
      </c>
      <c r="AF171">
        <v>0.83719999999999994</v>
      </c>
      <c r="AG171">
        <v>0.81440000000000001</v>
      </c>
      <c r="AH171">
        <v>0.81620000000000004</v>
      </c>
      <c r="AI171">
        <v>0.83160000000000001</v>
      </c>
      <c r="AJ171">
        <v>0.78209999999999991</v>
      </c>
      <c r="AK171">
        <v>0.82409999999999994</v>
      </c>
      <c r="AL171">
        <v>0.81669999999999998</v>
      </c>
      <c r="AM171">
        <v>0.80120000000000002</v>
      </c>
      <c r="AN171">
        <v>0.79420000000000002</v>
      </c>
      <c r="AO171">
        <v>0.78939999999999999</v>
      </c>
      <c r="AP171"/>
      <c r="AQ171"/>
      <c r="AR171"/>
      <c r="AS171"/>
      <c r="AT171"/>
      <c r="AU171"/>
      <c r="AV171"/>
      <c r="AW171"/>
      <c r="AX171"/>
      <c r="AY171"/>
      <c r="AZ171"/>
      <c r="BA171"/>
      <c r="BB171"/>
    </row>
    <row r="172" spans="2:54" x14ac:dyDescent="0.2">
      <c r="AC172" s="330" t="s">
        <v>261</v>
      </c>
      <c r="AD172">
        <v>0.75639999999999996</v>
      </c>
      <c r="AE172">
        <v>0.7923</v>
      </c>
      <c r="AF172">
        <v>0.84219999999999995</v>
      </c>
      <c r="AG172">
        <v>0.83579999999999999</v>
      </c>
      <c r="AH172">
        <v>0.85199999999999998</v>
      </c>
      <c r="AI172">
        <v>0.81900000000000006</v>
      </c>
      <c r="AJ172">
        <v>0.8599</v>
      </c>
      <c r="AK172">
        <v>0.86659999999999993</v>
      </c>
      <c r="AL172">
        <v>0.79519999999999991</v>
      </c>
      <c r="AM172">
        <v>0.8176000000000001</v>
      </c>
      <c r="AN172">
        <v>0.81059999999999999</v>
      </c>
      <c r="AO172">
        <v>0.80579999999999996</v>
      </c>
      <c r="AP172"/>
      <c r="AQ172"/>
      <c r="AR172"/>
      <c r="AS172"/>
      <c r="AT172"/>
      <c r="AU172"/>
      <c r="AV172"/>
      <c r="AW172"/>
      <c r="AX172"/>
      <c r="AY172"/>
      <c r="AZ172"/>
      <c r="BA172"/>
      <c r="BB172"/>
    </row>
    <row r="173" spans="2:54" x14ac:dyDescent="0.2">
      <c r="AC173" t="s">
        <v>1810</v>
      </c>
      <c r="AD173">
        <v>0.75309999999999999</v>
      </c>
      <c r="AE173">
        <v>0.78290000000000004</v>
      </c>
      <c r="AF173">
        <v>0.84</v>
      </c>
      <c r="AG173">
        <v>0.82540000000000002</v>
      </c>
      <c r="AH173">
        <v>0.83420000000000005</v>
      </c>
      <c r="AI173">
        <v>0.82530000000000003</v>
      </c>
      <c r="AJ173">
        <v>0.82120000000000004</v>
      </c>
      <c r="AK173">
        <v>0.84549999999999992</v>
      </c>
      <c r="AL173">
        <v>0.80590000000000006</v>
      </c>
      <c r="AM173">
        <v>0.8095</v>
      </c>
      <c r="AN173">
        <v>0.80249999999999999</v>
      </c>
      <c r="AO173">
        <v>0.79769999999999996</v>
      </c>
      <c r="AP173"/>
      <c r="AQ173"/>
      <c r="AR173"/>
      <c r="AS173"/>
      <c r="AT173"/>
      <c r="AU173"/>
      <c r="AV173"/>
      <c r="AW173"/>
      <c r="AX173"/>
      <c r="AY173"/>
      <c r="AZ173"/>
      <c r="BA173"/>
      <c r="BB173"/>
    </row>
    <row r="174" spans="2:54" x14ac:dyDescent="0.2">
      <c r="AC174" t="s">
        <v>1811</v>
      </c>
      <c r="AD174">
        <v>0.71499999999999997</v>
      </c>
      <c r="AE174">
        <v>0.72499999999999998</v>
      </c>
      <c r="AF174">
        <v>0.73499999999999999</v>
      </c>
      <c r="AG174">
        <v>0.745</v>
      </c>
      <c r="AH174">
        <v>0.755</v>
      </c>
      <c r="AI174">
        <v>0.755</v>
      </c>
      <c r="AJ174">
        <v>0.755</v>
      </c>
      <c r="AK174">
        <v>0.755</v>
      </c>
      <c r="AL174">
        <v>0.755</v>
      </c>
      <c r="AM174">
        <v>0.755</v>
      </c>
      <c r="AN174">
        <v>0.755</v>
      </c>
      <c r="AO174">
        <v>0.755</v>
      </c>
      <c r="AP174"/>
      <c r="AQ174"/>
      <c r="AR174"/>
      <c r="AS174"/>
      <c r="AT174"/>
      <c r="AU174"/>
      <c r="AV174"/>
      <c r="AW174"/>
      <c r="AX174"/>
      <c r="AY174"/>
      <c r="AZ174"/>
      <c r="BA174"/>
      <c r="BB174"/>
    </row>
    <row r="175" spans="2:54" x14ac:dyDescent="0.2">
      <c r="AC175" s="77" t="str">
        <f>ProcDataGenPre2012!C26</f>
        <v>OCGT liquid fuels Existing</v>
      </c>
      <c r="AD175" s="339">
        <f>SUMPRODUCT(AD143:AD146,$AB$143:$AB$146)/SUM($AB$143:$AB$146)</f>
        <v>0.97424737499999992</v>
      </c>
      <c r="AE175" s="339">
        <f t="shared" ref="AE175:AO175" si="63">SUMPRODUCT(AE143:AE146,$AB$143:$AB$146)/SUM($AB$143:$AB$146)</f>
        <v>0.943659625</v>
      </c>
      <c r="AF175" s="339">
        <f t="shared" si="63"/>
        <v>0.96469287500000012</v>
      </c>
      <c r="AG175" s="339">
        <f t="shared" si="63"/>
        <v>0.96816975000000016</v>
      </c>
      <c r="AH175" s="339">
        <f t="shared" si="63"/>
        <v>0.97311012500000005</v>
      </c>
      <c r="AI175" s="339">
        <f t="shared" si="63"/>
        <v>0.94247024999999984</v>
      </c>
      <c r="AJ175" s="339">
        <f t="shared" si="63"/>
        <v>0.90641312500000004</v>
      </c>
      <c r="AK175" s="339">
        <f t="shared" si="63"/>
        <v>0.8390821249999999</v>
      </c>
      <c r="AL175" s="339">
        <f t="shared" si="63"/>
        <v>0.82816737499999993</v>
      </c>
      <c r="AM175" s="339">
        <f t="shared" si="63"/>
        <v>0.820682625</v>
      </c>
      <c r="AN175" s="339">
        <f t="shared" si="63"/>
        <v>0.81912687500000003</v>
      </c>
      <c r="AO175" s="339">
        <f t="shared" si="63"/>
        <v>0.82047437499999998</v>
      </c>
      <c r="AP175" s="339"/>
      <c r="AQ175" s="339"/>
      <c r="AR175" s="339"/>
      <c r="AS175" s="339"/>
      <c r="AT175" s="339"/>
      <c r="AU175" s="339"/>
      <c r="AV175" s="339"/>
      <c r="AW175" s="339"/>
      <c r="AX175" s="339"/>
      <c r="AY175" s="339"/>
      <c r="AZ175" s="339"/>
      <c r="BA175" s="339"/>
      <c r="BB175" s="339"/>
    </row>
    <row r="176" spans="2:54" x14ac:dyDescent="0.2">
      <c r="AC176" s="77" t="str">
        <f>ProcDataGenPre2012!C27</f>
        <v>Hydro Existing South Africa</v>
      </c>
      <c r="AD176" s="339">
        <f>AD148</f>
        <v>0.94730000000000003</v>
      </c>
      <c r="AE176" s="339">
        <f t="shared" ref="AE176:AO176" si="64">AE148</f>
        <v>0.98870000000000002</v>
      </c>
      <c r="AF176" s="339">
        <f t="shared" si="64"/>
        <v>0.88950000000000007</v>
      </c>
      <c r="AG176" s="339">
        <f t="shared" si="64"/>
        <v>0.84439999999999993</v>
      </c>
      <c r="AH176" s="339">
        <f t="shared" si="64"/>
        <v>0.98849999999999993</v>
      </c>
      <c r="AI176" s="339">
        <f t="shared" si="64"/>
        <v>0.97609999999999997</v>
      </c>
      <c r="AJ176" s="339">
        <f t="shared" si="64"/>
        <v>0.98450000000000004</v>
      </c>
      <c r="AK176" s="339">
        <f t="shared" si="64"/>
        <v>0.97909999999999997</v>
      </c>
      <c r="AL176" s="339">
        <f t="shared" si="64"/>
        <v>0.95730000000000004</v>
      </c>
      <c r="AM176" s="339">
        <f t="shared" si="64"/>
        <v>0.95050000000000001</v>
      </c>
      <c r="AN176" s="339">
        <f t="shared" si="64"/>
        <v>0.95090000000000008</v>
      </c>
      <c r="AO176" s="339">
        <f t="shared" si="64"/>
        <v>0.94669999999999999</v>
      </c>
      <c r="AP176" s="339"/>
      <c r="AQ176" s="339"/>
      <c r="AR176" s="339"/>
      <c r="AS176" s="339"/>
      <c r="AT176" s="339"/>
      <c r="AU176" s="339"/>
      <c r="AV176" s="339"/>
      <c r="AW176" s="339"/>
      <c r="AX176" s="339"/>
      <c r="AY176" s="339"/>
      <c r="AZ176" s="339"/>
      <c r="BA176" s="339"/>
      <c r="BB176" s="339"/>
    </row>
    <row r="177" spans="29:54" x14ac:dyDescent="0.2">
      <c r="AC177" s="77" t="str">
        <f>ProcDataGenPre2012!C30</f>
        <v>Pump Storage All Existing - Single Storage Tech</v>
      </c>
      <c r="AD177" s="339">
        <f>($AB$149*AD149+$AB$151*AD151)/($AB$149+$AB$151)</f>
        <v>0.78414285714285714</v>
      </c>
      <c r="AE177" s="339">
        <f t="shared" ref="AE177:AO177" si="65">($AB$149*AE149+$AB$151*AE151)/($AB$149+$AB$151)</f>
        <v>0.8875142857142857</v>
      </c>
      <c r="AF177" s="339">
        <f t="shared" si="65"/>
        <v>0.85050000000000003</v>
      </c>
      <c r="AG177" s="339">
        <f t="shared" si="65"/>
        <v>0.90175714285714292</v>
      </c>
      <c r="AH177" s="339">
        <f t="shared" si="65"/>
        <v>0.92549999999999999</v>
      </c>
      <c r="AI177" s="339">
        <f t="shared" si="65"/>
        <v>0.84848571428571418</v>
      </c>
      <c r="AJ177" s="339">
        <f t="shared" si="65"/>
        <v>0.92071428571428571</v>
      </c>
      <c r="AK177" s="339">
        <f t="shared" si="65"/>
        <v>0.87885714285714289</v>
      </c>
      <c r="AL177" s="339">
        <f t="shared" si="65"/>
        <v>0.88021428571428573</v>
      </c>
      <c r="AM177" s="339">
        <f t="shared" si="65"/>
        <v>0.87538571428571421</v>
      </c>
      <c r="AN177" s="339">
        <f t="shared" si="65"/>
        <v>0.88564285714285718</v>
      </c>
      <c r="AO177" s="339">
        <f t="shared" si="65"/>
        <v>0.88481428571428578</v>
      </c>
      <c r="AP177" s="339"/>
      <c r="AQ177" s="339"/>
      <c r="AR177" s="339"/>
      <c r="AS177" s="339"/>
      <c r="AT177" s="339"/>
      <c r="AU177" s="339"/>
      <c r="AV177" s="339"/>
      <c r="AW177" s="339"/>
      <c r="AX177" s="339"/>
      <c r="AY177" s="339"/>
      <c r="AZ177" s="339"/>
      <c r="BA177" s="339"/>
      <c r="BB177" s="339"/>
    </row>
    <row r="178" spans="29:54" x14ac:dyDescent="0.2">
      <c r="AC178" s="77" t="str">
        <f>ProcDataGen2012On!C14</f>
        <v>DOE Peakers</v>
      </c>
      <c r="AD178" s="339">
        <f>AD152</f>
        <v>0.91790000000000005</v>
      </c>
      <c r="AE178" s="339">
        <f t="shared" ref="AE178:AO178" si="66">AE152</f>
        <v>0.94340000000000002</v>
      </c>
      <c r="AF178" s="339">
        <f t="shared" si="66"/>
        <v>0.92469999999999997</v>
      </c>
      <c r="AG178" s="339">
        <f t="shared" si="66"/>
        <v>0.94310000000000005</v>
      </c>
      <c r="AH178" s="339">
        <f t="shared" si="66"/>
        <v>0.96200000000000008</v>
      </c>
      <c r="AI178" s="339">
        <f t="shared" si="66"/>
        <v>0.91599999999999993</v>
      </c>
      <c r="AJ178" s="339">
        <f t="shared" si="66"/>
        <v>0.91879999999999995</v>
      </c>
      <c r="AK178" s="339">
        <f t="shared" si="66"/>
        <v>0.93180000000000007</v>
      </c>
      <c r="AL178" s="339">
        <f t="shared" si="66"/>
        <v>0.92110000000000003</v>
      </c>
      <c r="AM178" s="339">
        <f t="shared" si="66"/>
        <v>0.92959999999999998</v>
      </c>
      <c r="AN178" s="339">
        <f t="shared" si="66"/>
        <v>0.93129999999999991</v>
      </c>
      <c r="AO178" s="339">
        <f t="shared" si="66"/>
        <v>0.92989999999999995</v>
      </c>
      <c r="AP178" s="339"/>
      <c r="AQ178" s="339"/>
      <c r="AR178" s="339"/>
      <c r="AS178" s="339"/>
      <c r="AT178" s="339"/>
      <c r="AU178" s="339"/>
      <c r="AV178" s="339"/>
      <c r="AW178" s="339"/>
      <c r="AX178" s="339"/>
      <c r="AY178" s="339"/>
      <c r="AZ178" s="339"/>
      <c r="BA178" s="339"/>
      <c r="BB178" s="339"/>
    </row>
  </sheetData>
  <mergeCells count="10">
    <mergeCell ref="G33:N33"/>
    <mergeCell ref="G63:N63"/>
    <mergeCell ref="A2:D2"/>
    <mergeCell ref="G2:N3"/>
    <mergeCell ref="A3:A4"/>
    <mergeCell ref="B3:B4"/>
    <mergeCell ref="C3:C4"/>
    <mergeCell ref="D3:D4"/>
    <mergeCell ref="E3:E4"/>
    <mergeCell ref="F3:F4"/>
  </mergeCells>
  <conditionalFormatting sqref="G35:O62 Q35:Q62">
    <cfRule type="colorScale" priority="3">
      <colorScale>
        <cfvo type="min"/>
        <cfvo type="percentile" val="50"/>
        <cfvo type="max"/>
        <color rgb="FF5A8AC6"/>
        <color rgb="FFFCFCFF"/>
        <color rgb="FFF8696B"/>
      </colorScale>
    </cfRule>
  </conditionalFormatting>
  <conditionalFormatting sqref="G135:O148">
    <cfRule type="colorScale" priority="2">
      <colorScale>
        <cfvo type="min"/>
        <cfvo type="percentile" val="50"/>
        <cfvo type="max"/>
        <color rgb="FF5A8AC6"/>
        <color rgb="FFFCFCFF"/>
        <color rgb="FFF8696B"/>
      </colorScale>
    </cfRule>
  </conditionalFormatting>
  <dataValidations count="1">
    <dataValidation type="list" allowBlank="1" showInputMessage="1" showErrorMessage="1" sqref="AT97" xr:uid="{94252246-B5A5-4BD8-9FED-539188CBE5CF}">
      <formula1>$AP$139:$AP$140</formula1>
    </dataValidation>
  </dataValidations>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FA46D-B629-4069-99E1-404A101CA47C}">
  <sheetPr codeName="Sheet30"/>
  <dimension ref="A1:AX76"/>
  <sheetViews>
    <sheetView workbookViewId="0"/>
  </sheetViews>
  <sheetFormatPr defaultColWidth="9.140625" defaultRowHeight="12.75" outlineLevelRow="1" x14ac:dyDescent="0.2"/>
  <cols>
    <col min="1" max="1" width="15.7109375" style="77" customWidth="1"/>
    <col min="2" max="2" width="9" style="77" customWidth="1"/>
    <col min="3" max="3" width="9.85546875" style="77" customWidth="1"/>
    <col min="4" max="4" width="12" style="77" customWidth="1"/>
    <col min="5" max="5" width="10.85546875" style="77" customWidth="1"/>
    <col min="6" max="6" width="12" style="77" customWidth="1"/>
    <col min="7" max="7" width="9" style="77" customWidth="1"/>
    <col min="8" max="11" width="9.85546875" style="77" customWidth="1"/>
    <col min="12" max="12" width="9.42578125" style="77" customWidth="1"/>
    <col min="13" max="14" width="9.85546875" style="77" customWidth="1"/>
    <col min="15" max="15" width="9.42578125" style="77" customWidth="1"/>
    <col min="16" max="16" width="12" style="77" bestFit="1" customWidth="1"/>
    <col min="17" max="16384" width="9.140625" style="77"/>
  </cols>
  <sheetData>
    <row r="1" spans="1:50" ht="17.100000000000001" customHeight="1" x14ac:dyDescent="0.2">
      <c r="A1" s="153" t="s">
        <v>696</v>
      </c>
      <c r="J1" s="77">
        <v>2009</v>
      </c>
      <c r="M1" s="98">
        <f>(SUM(M5:M15)+SUM(M30:M32))/1000000</f>
        <v>113.443822</v>
      </c>
      <c r="N1" s="98">
        <f>(SUM(N5:N15)+SUM(N30:N32))/1000000</f>
        <v>116.50415</v>
      </c>
      <c r="O1" s="98">
        <f>(SUM(O5:O15)+SUM(O30:O32))/1000000</f>
        <v>111.89334599999999</v>
      </c>
      <c r="P1" s="98">
        <f>(SUM(P5:P15)+SUM(P30:P32))/1000000</f>
        <v>113.60475889429543</v>
      </c>
    </row>
    <row r="2" spans="1:50" ht="9.9499999999999993" customHeight="1" x14ac:dyDescent="0.2">
      <c r="A2" s="152" t="s">
        <v>695</v>
      </c>
      <c r="B2" s="152"/>
      <c r="C2" s="152"/>
      <c r="D2" s="152"/>
      <c r="E2" s="152"/>
      <c r="F2" s="152"/>
      <c r="G2" s="121">
        <f>2009</f>
        <v>2009</v>
      </c>
      <c r="H2" s="121">
        <f t="shared" ref="H2:N2" si="0">1+G2</f>
        <v>2010</v>
      </c>
      <c r="I2" s="121">
        <f t="shared" si="0"/>
        <v>2011</v>
      </c>
      <c r="J2" s="121">
        <f t="shared" si="0"/>
        <v>2012</v>
      </c>
      <c r="K2" s="121">
        <f t="shared" si="0"/>
        <v>2013</v>
      </c>
      <c r="L2" s="121">
        <f t="shared" si="0"/>
        <v>2014</v>
      </c>
      <c r="M2" s="121">
        <f t="shared" si="0"/>
        <v>2015</v>
      </c>
      <c r="N2" s="121">
        <f t="shared" si="0"/>
        <v>2016</v>
      </c>
    </row>
    <row r="3" spans="1:50" ht="39.950000000000003" customHeight="1" x14ac:dyDescent="0.2">
      <c r="A3" s="137" t="s">
        <v>665</v>
      </c>
      <c r="B3" s="136" t="s">
        <v>664</v>
      </c>
      <c r="C3" s="134" t="s">
        <v>663</v>
      </c>
      <c r="D3" s="136" t="s">
        <v>662</v>
      </c>
      <c r="E3" s="135" t="s">
        <v>661</v>
      </c>
      <c r="F3" s="134" t="s">
        <v>660</v>
      </c>
      <c r="G3" s="133" t="s">
        <v>659</v>
      </c>
      <c r="H3" s="132"/>
      <c r="I3" s="132"/>
      <c r="J3" s="132"/>
      <c r="K3" s="132"/>
      <c r="L3" s="132"/>
      <c r="M3" s="132"/>
      <c r="N3" s="131"/>
      <c r="T3" s="77" t="s">
        <v>133</v>
      </c>
      <c r="Z3" s="77" t="s">
        <v>694</v>
      </c>
      <c r="AA3" s="77" t="s">
        <v>694</v>
      </c>
      <c r="AB3" s="77" t="s">
        <v>694</v>
      </c>
      <c r="AC3" s="77" t="s">
        <v>694</v>
      </c>
      <c r="AD3" s="77" t="s">
        <v>694</v>
      </c>
      <c r="AE3" s="77" t="s">
        <v>694</v>
      </c>
      <c r="AF3" s="77" t="s">
        <v>694</v>
      </c>
      <c r="AG3" s="77" t="s">
        <v>694</v>
      </c>
      <c r="AH3" s="77" t="s">
        <v>694</v>
      </c>
      <c r="AI3" s="77" t="s">
        <v>694</v>
      </c>
      <c r="AJ3" s="77" t="s">
        <v>694</v>
      </c>
      <c r="AK3" s="77" t="s">
        <v>694</v>
      </c>
      <c r="AL3" s="77" t="s">
        <v>596</v>
      </c>
      <c r="AM3" s="77" t="s">
        <v>596</v>
      </c>
      <c r="AN3" s="77" t="s">
        <v>596</v>
      </c>
      <c r="AO3" s="77" t="s">
        <v>596</v>
      </c>
      <c r="AP3" s="77" t="s">
        <v>596</v>
      </c>
      <c r="AQ3" s="77" t="s">
        <v>596</v>
      </c>
      <c r="AR3" s="77" t="s">
        <v>596</v>
      </c>
      <c r="AS3" s="77" t="s">
        <v>596</v>
      </c>
      <c r="AT3" s="77" t="s">
        <v>596</v>
      </c>
      <c r="AU3" s="77" t="s">
        <v>596</v>
      </c>
      <c r="AV3" s="77" t="s">
        <v>596</v>
      </c>
      <c r="AW3" s="77" t="s">
        <v>596</v>
      </c>
    </row>
    <row r="4" spans="1:50" ht="12.95" customHeight="1" x14ac:dyDescent="0.2">
      <c r="A4" s="93"/>
      <c r="B4" s="93"/>
      <c r="C4" s="93"/>
      <c r="D4" s="93"/>
      <c r="E4" s="93"/>
      <c r="F4" s="93"/>
      <c r="G4" s="129" t="s">
        <v>658</v>
      </c>
      <c r="H4" s="129" t="s">
        <v>657</v>
      </c>
      <c r="I4" s="129" t="s">
        <v>656</v>
      </c>
      <c r="J4" s="129" t="s">
        <v>655</v>
      </c>
      <c r="K4" s="129" t="s">
        <v>654</v>
      </c>
      <c r="L4" s="130" t="s">
        <v>653</v>
      </c>
      <c r="M4" s="129" t="s">
        <v>652</v>
      </c>
      <c r="N4" s="129" t="s">
        <v>651</v>
      </c>
      <c r="O4" s="129" t="s">
        <v>596</v>
      </c>
      <c r="P4" s="77">
        <v>2017</v>
      </c>
      <c r="Q4" s="77" t="s">
        <v>595</v>
      </c>
      <c r="R4" s="77" t="s">
        <v>1765</v>
      </c>
      <c r="S4" s="77" t="s">
        <v>693</v>
      </c>
      <c r="U4" s="77" t="s">
        <v>692</v>
      </c>
      <c r="V4" s="77" t="s">
        <v>691</v>
      </c>
      <c r="W4" s="77">
        <v>2016</v>
      </c>
      <c r="X4" s="77">
        <f t="shared" ref="X4:AH4" si="1">W4</f>
        <v>2016</v>
      </c>
      <c r="Y4" s="77">
        <f t="shared" si="1"/>
        <v>2016</v>
      </c>
      <c r="Z4" s="77">
        <f t="shared" si="1"/>
        <v>2016</v>
      </c>
      <c r="AA4" s="77">
        <f t="shared" si="1"/>
        <v>2016</v>
      </c>
      <c r="AB4" s="77">
        <f t="shared" si="1"/>
        <v>2016</v>
      </c>
      <c r="AC4" s="77">
        <f t="shared" si="1"/>
        <v>2016</v>
      </c>
      <c r="AD4" s="77">
        <f t="shared" si="1"/>
        <v>2016</v>
      </c>
      <c r="AE4" s="77">
        <f t="shared" si="1"/>
        <v>2016</v>
      </c>
      <c r="AF4" s="77">
        <f t="shared" si="1"/>
        <v>2016</v>
      </c>
      <c r="AG4" s="77">
        <f t="shared" si="1"/>
        <v>2016</v>
      </c>
      <c r="AH4" s="77">
        <f t="shared" si="1"/>
        <v>2016</v>
      </c>
      <c r="AI4" s="77">
        <f t="shared" ref="AI4:AX4" si="2">W4+1</f>
        <v>2017</v>
      </c>
      <c r="AJ4" s="77">
        <f t="shared" si="2"/>
        <v>2017</v>
      </c>
      <c r="AK4" s="77">
        <f t="shared" si="2"/>
        <v>2017</v>
      </c>
      <c r="AL4" s="77">
        <f t="shared" si="2"/>
        <v>2017</v>
      </c>
      <c r="AM4" s="77">
        <f t="shared" si="2"/>
        <v>2017</v>
      </c>
      <c r="AN4" s="77">
        <f t="shared" si="2"/>
        <v>2017</v>
      </c>
      <c r="AO4" s="77">
        <f t="shared" si="2"/>
        <v>2017</v>
      </c>
      <c r="AP4" s="77">
        <f t="shared" si="2"/>
        <v>2017</v>
      </c>
      <c r="AQ4" s="77">
        <f t="shared" si="2"/>
        <v>2017</v>
      </c>
      <c r="AR4" s="77">
        <f t="shared" si="2"/>
        <v>2017</v>
      </c>
      <c r="AS4" s="77">
        <f t="shared" si="2"/>
        <v>2017</v>
      </c>
      <c r="AT4" s="77">
        <f t="shared" si="2"/>
        <v>2017</v>
      </c>
      <c r="AU4" s="77">
        <f t="shared" si="2"/>
        <v>2018</v>
      </c>
      <c r="AV4" s="77">
        <f t="shared" si="2"/>
        <v>2018</v>
      </c>
      <c r="AW4" s="77">
        <f t="shared" si="2"/>
        <v>2018</v>
      </c>
      <c r="AX4" s="77">
        <f t="shared" si="2"/>
        <v>2018</v>
      </c>
    </row>
    <row r="5" spans="1:50" ht="12.95" customHeight="1" x14ac:dyDescent="0.2">
      <c r="A5" s="122" t="s">
        <v>648</v>
      </c>
      <c r="B5" s="121">
        <v>1980</v>
      </c>
      <c r="C5" s="120">
        <v>26197</v>
      </c>
      <c r="D5" s="119">
        <v>26197</v>
      </c>
      <c r="E5" s="118" t="s">
        <v>617</v>
      </c>
      <c r="F5" s="117" t="s">
        <v>675</v>
      </c>
      <c r="G5" s="150">
        <v>6794134</v>
      </c>
      <c r="H5" s="150">
        <v>6525670</v>
      </c>
      <c r="I5" s="150">
        <v>7035460</v>
      </c>
      <c r="J5" s="150">
        <v>6705593</v>
      </c>
      <c r="K5" s="150">
        <v>6066013</v>
      </c>
      <c r="L5" s="151">
        <v>5595389</v>
      </c>
      <c r="M5" s="150">
        <v>5864921</v>
      </c>
      <c r="N5" s="150">
        <v>9278888</v>
      </c>
      <c r="O5" s="99">
        <v>5256587</v>
      </c>
      <c r="P5" s="107">
        <f>'eskom production 2009-YTD'!Q5*3.6/V5/P44</f>
        <v>5661375.305441495</v>
      </c>
      <c r="Q5" s="142">
        <f t="shared" ref="Q5:Q16" si="3">$P$34/$P$33*P5/1000000</f>
        <v>5.6580227678082284</v>
      </c>
      <c r="R5" s="142">
        <f>Q5*P44</f>
        <v>120.11774459970552</v>
      </c>
      <c r="S5" s="142">
        <f>'eskom production 2009-YTD'!AB5*3.6/V5/P44</f>
        <v>5.4519325554816973</v>
      </c>
      <c r="T5" s="88">
        <f>'eskom production 2009-YTD'!O35</f>
        <v>0.32825626740449204</v>
      </c>
      <c r="U5" s="88">
        <f>AVERAGE('eskom production 2009-YTD'!G35:M35)</f>
        <v>0.30171598675012301</v>
      </c>
      <c r="V5" s="146">
        <v>0.31</v>
      </c>
      <c r="W5" s="77" t="s">
        <v>682</v>
      </c>
      <c r="X5" s="77" t="s">
        <v>681</v>
      </c>
      <c r="Y5" s="77" t="s">
        <v>680</v>
      </c>
      <c r="Z5" s="77" t="s">
        <v>679</v>
      </c>
      <c r="AA5" s="77" t="s">
        <v>690</v>
      </c>
      <c r="AB5" s="77" t="s">
        <v>689</v>
      </c>
      <c r="AC5" s="77" t="s">
        <v>688</v>
      </c>
      <c r="AD5" s="77" t="s">
        <v>687</v>
      </c>
      <c r="AE5" s="77" t="s">
        <v>686</v>
      </c>
      <c r="AF5" s="77" t="s">
        <v>685</v>
      </c>
      <c r="AG5" s="77" t="s">
        <v>684</v>
      </c>
      <c r="AH5" s="77" t="s">
        <v>683</v>
      </c>
      <c r="AI5" s="77" t="s">
        <v>682</v>
      </c>
      <c r="AJ5" s="77" t="s">
        <v>681</v>
      </c>
      <c r="AK5" s="77" t="s">
        <v>680</v>
      </c>
      <c r="AL5" s="77" t="s">
        <v>679</v>
      </c>
      <c r="AM5" s="77" t="s">
        <v>690</v>
      </c>
      <c r="AN5" s="77" t="s">
        <v>689</v>
      </c>
      <c r="AO5" s="77" t="s">
        <v>688</v>
      </c>
      <c r="AP5" s="77" t="s">
        <v>687</v>
      </c>
      <c r="AQ5" s="77" t="s">
        <v>686</v>
      </c>
      <c r="AR5" s="77" t="s">
        <v>685</v>
      </c>
      <c r="AS5" s="77" t="s">
        <v>684</v>
      </c>
      <c r="AT5" s="77" t="s">
        <v>683</v>
      </c>
      <c r="AU5" s="77" t="s">
        <v>682</v>
      </c>
      <c r="AV5" s="77" t="s">
        <v>681</v>
      </c>
      <c r="AW5" s="77" t="s">
        <v>680</v>
      </c>
      <c r="AX5" s="77" t="s">
        <v>679</v>
      </c>
    </row>
    <row r="6" spans="1:50" ht="12.95" customHeight="1" x14ac:dyDescent="0.2">
      <c r="A6" s="122" t="s">
        <v>647</v>
      </c>
      <c r="B6" s="121">
        <v>3450</v>
      </c>
      <c r="C6" s="120">
        <v>29238</v>
      </c>
      <c r="D6" s="119">
        <v>29238</v>
      </c>
      <c r="E6" s="118" t="s">
        <v>617</v>
      </c>
      <c r="F6" s="117" t="s">
        <v>675</v>
      </c>
      <c r="G6" s="150">
        <v>11744606</v>
      </c>
      <c r="H6" s="150">
        <v>10639393</v>
      </c>
      <c r="I6" s="150">
        <v>9154172</v>
      </c>
      <c r="J6" s="150">
        <v>9108411</v>
      </c>
      <c r="K6" s="150">
        <v>9741615</v>
      </c>
      <c r="L6" s="151">
        <v>7260002</v>
      </c>
      <c r="M6" s="150">
        <v>7599737</v>
      </c>
      <c r="N6" s="150">
        <v>8487411</v>
      </c>
      <c r="O6" s="99">
        <v>7933848</v>
      </c>
      <c r="P6" s="107">
        <f>'eskom production 2009-YTD'!Q6*3.6/V6/P45</f>
        <v>7228755.8399569066</v>
      </c>
      <c r="Q6" s="142">
        <f t="shared" si="3"/>
        <v>7.2244751352362968</v>
      </c>
      <c r="R6" s="142">
        <f t="shared" ref="R6:R16" si="4">Q6*P45</f>
        <v>150.63216039539068</v>
      </c>
      <c r="S6" s="142">
        <f>'eskom production 2009-YTD'!AB6*3.6/V6/P45</f>
        <v>7.8505785839428919</v>
      </c>
      <c r="T6" s="88">
        <f>'eskom production 2009-YTD'!O36</f>
        <v>0.28804870826473483</v>
      </c>
      <c r="U6" s="88">
        <f>AVERAGE('eskom production 2009-YTD'!G36:M36)</f>
        <v>0.33058235797930735</v>
      </c>
      <c r="V6" s="146">
        <f>U6</f>
        <v>0.33058235797930735</v>
      </c>
    </row>
    <row r="7" spans="1:50" ht="12.95" customHeight="1" x14ac:dyDescent="0.2">
      <c r="A7" s="122" t="s">
        <v>646</v>
      </c>
      <c r="B7" s="121">
        <v>1895</v>
      </c>
      <c r="C7" s="120">
        <v>25700</v>
      </c>
      <c r="D7" s="119">
        <v>25700</v>
      </c>
      <c r="E7" s="118" t="s">
        <v>617</v>
      </c>
      <c r="F7" s="117" t="s">
        <v>675</v>
      </c>
      <c r="G7" s="150">
        <v>6905917</v>
      </c>
      <c r="H7" s="150">
        <v>7139198</v>
      </c>
      <c r="I7" s="150">
        <v>6849996</v>
      </c>
      <c r="J7" s="150">
        <v>5763637</v>
      </c>
      <c r="K7" s="150">
        <v>5323902</v>
      </c>
      <c r="L7" s="151">
        <v>6479235</v>
      </c>
      <c r="M7" s="150">
        <v>4958484</v>
      </c>
      <c r="N7" s="150">
        <v>5365575</v>
      </c>
      <c r="O7" s="99">
        <v>4893165</v>
      </c>
      <c r="P7" s="99">
        <f>3/12*N7+9/12*O7</f>
        <v>5011267.5</v>
      </c>
      <c r="Q7" s="142">
        <f t="shared" si="3"/>
        <v>5.0082999414161407</v>
      </c>
      <c r="R7" s="142">
        <f t="shared" si="4"/>
        <v>106.78588068140861</v>
      </c>
      <c r="S7" s="142">
        <f>'eskom production 2009-YTD'!AB7*3.6/V7/P46</f>
        <v>4.6271492846265634</v>
      </c>
      <c r="T7" s="88">
        <f>'eskom production 2009-YTD'!O37</f>
        <v>0.26384782162448195</v>
      </c>
      <c r="U7" s="88">
        <f>AVERAGE('eskom production 2009-YTD'!G37:M37)</f>
        <v>0.27930721005955628</v>
      </c>
      <c r="V7" s="88">
        <f>U7</f>
        <v>0.27930721005955628</v>
      </c>
    </row>
    <row r="8" spans="1:50" ht="12.95" customHeight="1" x14ac:dyDescent="0.2">
      <c r="A8" s="122" t="s">
        <v>645</v>
      </c>
      <c r="B8" s="121">
        <v>3840</v>
      </c>
      <c r="C8" s="120">
        <v>32417</v>
      </c>
      <c r="D8" s="119">
        <v>32417</v>
      </c>
      <c r="E8" s="118" t="s">
        <v>617</v>
      </c>
      <c r="F8" s="117" t="s">
        <v>675</v>
      </c>
      <c r="G8" s="150">
        <v>13866514</v>
      </c>
      <c r="H8" s="150">
        <v>15174501</v>
      </c>
      <c r="I8" s="150">
        <v>15938407</v>
      </c>
      <c r="J8" s="150">
        <v>15386155</v>
      </c>
      <c r="K8" s="150">
        <v>16190242</v>
      </c>
      <c r="L8" s="151">
        <v>14028640</v>
      </c>
      <c r="M8" s="150">
        <v>14813213</v>
      </c>
      <c r="N8" s="150">
        <v>13606766</v>
      </c>
      <c r="O8" s="99">
        <v>15644964</v>
      </c>
      <c r="P8" s="107">
        <f>'eskom production 2009-YTD'!Q8*3.6/V8/P47</f>
        <v>13867167.156738928</v>
      </c>
      <c r="Q8" s="142">
        <f t="shared" si="3"/>
        <v>13.858955335891249</v>
      </c>
      <c r="R8" s="142">
        <f t="shared" si="4"/>
        <v>275.82717018599396</v>
      </c>
      <c r="S8" s="142">
        <f>'eskom production 2009-YTD'!AB8*3.6/V8/P47</f>
        <v>14.085615530986351</v>
      </c>
      <c r="T8" s="88">
        <f>'eskom production 2009-YTD'!O38</f>
        <v>0.30980243866332968</v>
      </c>
      <c r="U8" s="88">
        <f>AVERAGE('eskom production 2009-YTD'!G38:M38)</f>
        <v>0.32400475724155064</v>
      </c>
      <c r="V8" s="146">
        <f>'eskom production 2009-YTD'!N38</f>
        <v>0.32453714221152569</v>
      </c>
    </row>
    <row r="9" spans="1:50" ht="12.95" customHeight="1" x14ac:dyDescent="0.2">
      <c r="A9" s="122" t="s">
        <v>644</v>
      </c>
      <c r="B9" s="121">
        <v>2850</v>
      </c>
      <c r="C9" s="120">
        <v>27886</v>
      </c>
      <c r="D9" s="119">
        <v>27886</v>
      </c>
      <c r="E9" s="118" t="s">
        <v>617</v>
      </c>
      <c r="F9" s="117" t="s">
        <v>675</v>
      </c>
      <c r="G9" s="150">
        <v>8504715</v>
      </c>
      <c r="H9" s="150">
        <v>9527185</v>
      </c>
      <c r="I9" s="150">
        <v>8360504</v>
      </c>
      <c r="J9" s="150">
        <v>8902897</v>
      </c>
      <c r="K9" s="150">
        <v>8147633</v>
      </c>
      <c r="L9" s="151">
        <v>7841257</v>
      </c>
      <c r="M9" s="150">
        <v>8643898</v>
      </c>
      <c r="N9" s="150">
        <v>8095662</v>
      </c>
      <c r="O9" s="99">
        <v>6867661</v>
      </c>
      <c r="P9" s="99">
        <f>3/12*N9+9/12*O9</f>
        <v>7174661.25</v>
      </c>
      <c r="Q9" s="142">
        <f t="shared" si="3"/>
        <v>7.1704125788646591</v>
      </c>
      <c r="R9" s="142">
        <f t="shared" si="4"/>
        <v>147.710499124612</v>
      </c>
      <c r="S9" s="142">
        <f>'eskom production 2009-YTD'!AB9*3.6/V9/P48</f>
        <v>6.5516847591896692</v>
      </c>
      <c r="T9" s="88">
        <f>'eskom production 2009-YTD'!O39</f>
        <v>0.31933046782594537</v>
      </c>
      <c r="U9" s="88">
        <f>AVERAGE('eskom production 2009-YTD'!G39:M39)</f>
        <v>0.33366802188184252</v>
      </c>
      <c r="V9" s="88">
        <f>U9</f>
        <v>0.33366802188184252</v>
      </c>
    </row>
    <row r="10" spans="1:50" ht="12.95" customHeight="1" x14ac:dyDescent="0.2">
      <c r="A10" s="122" t="s">
        <v>643</v>
      </c>
      <c r="B10" s="121">
        <v>3558</v>
      </c>
      <c r="C10" s="120">
        <v>31403</v>
      </c>
      <c r="D10" s="119">
        <v>31403</v>
      </c>
      <c r="E10" s="118" t="s">
        <v>617</v>
      </c>
      <c r="F10" s="117" t="s">
        <v>675</v>
      </c>
      <c r="G10" s="150">
        <v>18170227</v>
      </c>
      <c r="H10" s="150">
        <v>17774699</v>
      </c>
      <c r="I10" s="150">
        <v>17293334</v>
      </c>
      <c r="J10" s="150">
        <v>15981404</v>
      </c>
      <c r="K10" s="150">
        <v>16317957</v>
      </c>
      <c r="L10" s="151">
        <v>16206472</v>
      </c>
      <c r="M10" s="150">
        <v>14941989</v>
      </c>
      <c r="N10" s="150">
        <v>15591930</v>
      </c>
      <c r="O10" s="99">
        <v>14068403</v>
      </c>
      <c r="P10" s="107">
        <f>'eskom production 2009-YTD'!Q10*3.6/V10/P49</f>
        <v>13938744.923448831</v>
      </c>
      <c r="Q10" s="142">
        <f t="shared" si="3"/>
        <v>13.930490715876433</v>
      </c>
      <c r="R10" s="142">
        <f t="shared" si="4"/>
        <v>203.3851644517959</v>
      </c>
      <c r="S10" s="142">
        <f>'eskom production 2009-YTD'!AB10*3.6/V10/P49</f>
        <v>14.520307010475424</v>
      </c>
      <c r="T10" s="88">
        <f>'eskom production 2009-YTD'!O40</f>
        <v>0.31903846114129775</v>
      </c>
      <c r="U10" s="88">
        <f>AVERAGE('eskom production 2009-YTD'!G40:M40)</f>
        <v>0.34996089605437036</v>
      </c>
      <c r="V10" s="146">
        <v>0.34</v>
      </c>
    </row>
    <row r="11" spans="1:50" ht="12.95" customHeight="1" x14ac:dyDescent="0.2">
      <c r="A11" s="122" t="s">
        <v>642</v>
      </c>
      <c r="B11" s="121">
        <v>3690</v>
      </c>
      <c r="C11" s="120">
        <v>32115</v>
      </c>
      <c r="D11" s="119">
        <v>32115</v>
      </c>
      <c r="E11" s="118" t="s">
        <v>617</v>
      </c>
      <c r="F11" s="117" t="s">
        <v>675</v>
      </c>
      <c r="G11" s="150">
        <v>14637481</v>
      </c>
      <c r="H11" s="150">
        <v>14596842</v>
      </c>
      <c r="I11" s="150">
        <v>14953397</v>
      </c>
      <c r="J11" s="150">
        <v>14269648</v>
      </c>
      <c r="K11" s="150">
        <v>13911050</v>
      </c>
      <c r="L11" s="151">
        <v>14226673</v>
      </c>
      <c r="M11" s="150">
        <v>12718092</v>
      </c>
      <c r="N11" s="150">
        <v>13227588</v>
      </c>
      <c r="O11" s="99">
        <v>13533321</v>
      </c>
      <c r="P11" s="107">
        <f>'eskom production 2009-YTD'!Q11*3.6/V11/P50</f>
        <v>14142381.493099175</v>
      </c>
      <c r="Q11" s="142">
        <f t="shared" si="3"/>
        <v>14.13400669658391</v>
      </c>
      <c r="R11" s="142">
        <f t="shared" si="4"/>
        <v>277.02653125304465</v>
      </c>
      <c r="S11" s="142">
        <f>'eskom production 2009-YTD'!AB11*3.6/V11/P50</f>
        <v>13.941054192123994</v>
      </c>
      <c r="T11" s="88">
        <f>'eskom production 2009-YTD'!O41</f>
        <v>0.34216683831977274</v>
      </c>
      <c r="U11" s="88">
        <f>AVERAGE('eskom production 2009-YTD'!G41:M41)</f>
        <v>0.33258561119841973</v>
      </c>
      <c r="V11" s="146">
        <f>'eskom production 2009-YTD'!N41</f>
        <v>0.34000258749678802</v>
      </c>
    </row>
    <row r="12" spans="1:50" ht="12.95" customHeight="1" x14ac:dyDescent="0.2">
      <c r="A12" s="122" t="s">
        <v>641</v>
      </c>
      <c r="B12" s="121">
        <v>3843</v>
      </c>
      <c r="C12" s="120">
        <v>35156</v>
      </c>
      <c r="D12" s="119">
        <v>35156</v>
      </c>
      <c r="E12" s="118" t="s">
        <v>617</v>
      </c>
      <c r="F12" s="117" t="s">
        <v>675</v>
      </c>
      <c r="G12" s="150">
        <v>12261833</v>
      </c>
      <c r="H12" s="150">
        <v>13020512</v>
      </c>
      <c r="I12" s="150">
        <v>13529252</v>
      </c>
      <c r="J12" s="150">
        <v>13269678</v>
      </c>
      <c r="K12" s="150">
        <v>13087805</v>
      </c>
      <c r="L12" s="151">
        <v>12938389</v>
      </c>
      <c r="M12" s="150">
        <v>11457000</v>
      </c>
      <c r="N12" s="150">
        <v>11676494</v>
      </c>
      <c r="O12" s="99">
        <v>13413735</v>
      </c>
      <c r="P12" s="99">
        <f>3/12*N12+9/12*O12</f>
        <v>12979424.75</v>
      </c>
      <c r="Q12" s="142">
        <f t="shared" si="3"/>
        <v>12.971738630005323</v>
      </c>
      <c r="R12" s="142">
        <f t="shared" si="4"/>
        <v>277.49799051155082</v>
      </c>
      <c r="S12" s="142">
        <f>'eskom production 2009-YTD'!AB12*3.6/V12/P51</f>
        <v>13.241261497211392</v>
      </c>
      <c r="T12" s="88">
        <f>'eskom production 2009-YTD'!O42</f>
        <v>0.2943429056745982</v>
      </c>
      <c r="U12" s="88">
        <f>AVERAGE('eskom production 2009-YTD'!G42:M42)</f>
        <v>0.29697832409399499</v>
      </c>
      <c r="V12" s="88">
        <f>U12</f>
        <v>0.29697832409399499</v>
      </c>
    </row>
    <row r="13" spans="1:50" ht="12.95" customHeight="1" x14ac:dyDescent="0.2">
      <c r="A13" s="122" t="s">
        <v>640</v>
      </c>
      <c r="B13" s="121">
        <v>3450</v>
      </c>
      <c r="C13" s="120">
        <v>29127</v>
      </c>
      <c r="D13" s="119">
        <v>29127</v>
      </c>
      <c r="E13" s="118" t="s">
        <v>617</v>
      </c>
      <c r="F13" s="117" t="s">
        <v>675</v>
      </c>
      <c r="G13" s="150">
        <v>12438391</v>
      </c>
      <c r="H13" s="150">
        <v>12155421</v>
      </c>
      <c r="I13" s="150">
        <v>11367521</v>
      </c>
      <c r="J13" s="150">
        <v>12069357</v>
      </c>
      <c r="K13" s="150">
        <v>10076382</v>
      </c>
      <c r="L13" s="151">
        <v>11482829</v>
      </c>
      <c r="M13" s="150">
        <v>11649395</v>
      </c>
      <c r="N13" s="150">
        <v>10941541</v>
      </c>
      <c r="O13" s="99">
        <v>10875693</v>
      </c>
      <c r="P13" s="99">
        <f>3/12*N13+9/12*O13</f>
        <v>10892155</v>
      </c>
      <c r="Q13" s="142">
        <f t="shared" si="3"/>
        <v>10.885704913656179</v>
      </c>
      <c r="R13" s="142">
        <f t="shared" si="4"/>
        <v>212.27124581629548</v>
      </c>
      <c r="S13" s="142">
        <f>'eskom production 2009-YTD'!AB13*3.6/V13/P52</f>
        <v>10.23211111604232</v>
      </c>
      <c r="T13" s="88">
        <f>'eskom production 2009-YTD'!O43</f>
        <v>0.33618216935086948</v>
      </c>
      <c r="U13" s="88">
        <f>AVERAGE('eskom production 2009-YTD'!G43:M43)</f>
        <v>0.33746761788913027</v>
      </c>
      <c r="V13" s="88">
        <f>U13</f>
        <v>0.33746761788913027</v>
      </c>
    </row>
    <row r="14" spans="1:50" ht="12.95" customHeight="1" x14ac:dyDescent="0.2">
      <c r="A14" s="122" t="s">
        <v>639</v>
      </c>
      <c r="B14" s="121">
        <v>4764</v>
      </c>
      <c r="C14" s="120">
        <v>42238</v>
      </c>
      <c r="D14" s="119">
        <v>42239</v>
      </c>
      <c r="E14" s="118" t="s">
        <v>617</v>
      </c>
      <c r="F14" s="117" t="s">
        <v>675</v>
      </c>
      <c r="G14" s="103"/>
      <c r="H14" s="103"/>
      <c r="I14" s="103"/>
      <c r="J14" s="103"/>
      <c r="K14" s="103"/>
      <c r="L14" s="147"/>
      <c r="M14" s="103"/>
      <c r="N14" s="150">
        <v>1139577</v>
      </c>
      <c r="O14" s="99">
        <v>2298394</v>
      </c>
      <c r="P14" s="107">
        <f>'eskom production 2009-YTD'!Q14*3.6/V14/P53</f>
        <v>5020041.7140656793</v>
      </c>
      <c r="Q14" s="142">
        <f t="shared" si="3"/>
        <v>5.0170689595919038</v>
      </c>
      <c r="R14" s="142">
        <f t="shared" si="4"/>
        <v>98.33455160800132</v>
      </c>
      <c r="S14" s="142">
        <f>'eskom production 2009-YTD'!AB14*3.6/V14/P53</f>
        <v>3.8837092095274763</v>
      </c>
      <c r="T14" s="88">
        <f>'eskom production 2009-YTD'!O44</f>
        <v>1.0346492109105481</v>
      </c>
      <c r="U14" s="88"/>
      <c r="V14" s="146">
        <v>0.371</v>
      </c>
    </row>
    <row r="15" spans="1:50" ht="12.95" customHeight="1" x14ac:dyDescent="0.2">
      <c r="A15" s="122" t="s">
        <v>638</v>
      </c>
      <c r="B15" s="121">
        <v>3510</v>
      </c>
      <c r="C15" s="120">
        <v>31199</v>
      </c>
      <c r="D15" s="119">
        <v>31199</v>
      </c>
      <c r="E15" s="118" t="s">
        <v>617</v>
      </c>
      <c r="F15" s="117" t="s">
        <v>675</v>
      </c>
      <c r="G15" s="150">
        <v>10602839</v>
      </c>
      <c r="H15" s="150">
        <v>10191709</v>
      </c>
      <c r="I15" s="150">
        <v>11368184</v>
      </c>
      <c r="J15" s="150">
        <v>10963012</v>
      </c>
      <c r="K15" s="150">
        <v>10663894</v>
      </c>
      <c r="L15" s="151">
        <v>11598592</v>
      </c>
      <c r="M15" s="150">
        <v>10448003</v>
      </c>
      <c r="N15" s="150">
        <v>9278888</v>
      </c>
      <c r="O15" s="99">
        <v>9324821</v>
      </c>
      <c r="P15" s="99">
        <f>3/12*N15+9/12*O15</f>
        <v>9313337.75</v>
      </c>
      <c r="Q15" s="142">
        <f t="shared" si="3"/>
        <v>9.3078226033061942</v>
      </c>
      <c r="R15" s="142">
        <f t="shared" si="4"/>
        <v>191.58125690389213</v>
      </c>
      <c r="S15" s="142">
        <f>'eskom production 2009-YTD'!AB15*3.6/V15/P54</f>
        <v>9.1405118988173637</v>
      </c>
      <c r="T15" s="88">
        <f>'eskom production 2009-YTD'!O45</f>
        <v>0.31570194275813418</v>
      </c>
      <c r="U15" s="88">
        <f>AVERAGE('eskom production 2009-YTD'!G45:M45)</f>
        <v>0.31521606955631537</v>
      </c>
      <c r="V15" s="88">
        <f>U15</f>
        <v>0.31521606955631537</v>
      </c>
    </row>
    <row r="16" spans="1:50" ht="12.95" customHeight="1" x14ac:dyDescent="0.2">
      <c r="A16" s="122" t="s">
        <v>513</v>
      </c>
      <c r="B16" s="121"/>
      <c r="C16" s="120"/>
      <c r="D16" s="119"/>
      <c r="E16" s="118"/>
      <c r="F16" s="117"/>
      <c r="G16" s="150"/>
      <c r="H16" s="150"/>
      <c r="I16" s="150"/>
      <c r="J16" s="150"/>
      <c r="K16" s="150"/>
      <c r="L16" s="151"/>
      <c r="M16" s="150"/>
      <c r="N16" s="150"/>
      <c r="O16" s="99"/>
      <c r="P16" s="107">
        <f>'eskom production 2009-YTD'!Q16*3.6/V16/P55</f>
        <v>764968.25567963033</v>
      </c>
      <c r="Q16" s="142">
        <f t="shared" si="3"/>
        <v>0.76451525888520211</v>
      </c>
      <c r="R16" s="142">
        <f t="shared" si="4"/>
        <v>13.379017030491037</v>
      </c>
      <c r="S16" s="142">
        <f>'eskom production 2009-YTD'!AB16*3.6/V16/P55</f>
        <v>0.76496825567963034</v>
      </c>
      <c r="T16" s="88"/>
      <c r="U16" s="88"/>
      <c r="V16" s="88">
        <f>V14</f>
        <v>0.371</v>
      </c>
    </row>
    <row r="17" spans="1:22" ht="12.95" customHeight="1" x14ac:dyDescent="0.2">
      <c r="A17" s="122" t="s">
        <v>637</v>
      </c>
      <c r="B17" s="121">
        <v>1800</v>
      </c>
      <c r="C17" s="120">
        <v>30884</v>
      </c>
      <c r="D17" s="119">
        <v>30884</v>
      </c>
      <c r="E17" s="118" t="s">
        <v>636</v>
      </c>
      <c r="F17" s="117" t="s">
        <v>676</v>
      </c>
      <c r="G17" s="103"/>
      <c r="H17" s="103"/>
      <c r="I17" s="103"/>
      <c r="J17" s="103"/>
      <c r="K17" s="103"/>
      <c r="L17" s="147"/>
      <c r="M17" s="103"/>
      <c r="N17" s="103"/>
      <c r="O17" s="99"/>
      <c r="P17" s="99"/>
      <c r="Q17" s="142"/>
      <c r="R17" s="142"/>
    </row>
    <row r="18" spans="1:22" ht="20.100000000000001" customHeight="1" x14ac:dyDescent="0.2">
      <c r="A18" s="127" t="s">
        <v>635</v>
      </c>
      <c r="B18" s="126">
        <v>171</v>
      </c>
      <c r="C18" s="125">
        <v>27893</v>
      </c>
      <c r="D18" s="124">
        <v>27893</v>
      </c>
      <c r="E18" s="123" t="s">
        <v>631</v>
      </c>
      <c r="F18" s="117" t="s">
        <v>677</v>
      </c>
      <c r="G18" s="148">
        <v>1132973</v>
      </c>
      <c r="H18" s="148">
        <v>444957</v>
      </c>
      <c r="I18" s="148">
        <v>462819</v>
      </c>
      <c r="J18" s="148">
        <v>3601410</v>
      </c>
      <c r="K18" s="148">
        <v>20141569</v>
      </c>
      <c r="L18" s="149">
        <v>24854691</v>
      </c>
      <c r="M18" s="148">
        <v>19959065</v>
      </c>
      <c r="N18" s="148">
        <v>76067</v>
      </c>
      <c r="O18" s="99"/>
      <c r="P18" s="99"/>
      <c r="Q18" s="142"/>
      <c r="R18" s="142"/>
    </row>
    <row r="19" spans="1:22" ht="12.95" customHeight="1" x14ac:dyDescent="0.2">
      <c r="A19" s="122" t="s">
        <v>634</v>
      </c>
      <c r="B19" s="121">
        <v>1327</v>
      </c>
      <c r="C19" s="120">
        <v>39356</v>
      </c>
      <c r="D19" s="119">
        <v>39356</v>
      </c>
      <c r="E19" s="118" t="s">
        <v>631</v>
      </c>
      <c r="F19" s="117" t="s">
        <v>678</v>
      </c>
      <c r="G19" s="144">
        <v>7459437</v>
      </c>
      <c r="H19" s="144">
        <v>41305580</v>
      </c>
      <c r="I19" s="144">
        <v>121853656</v>
      </c>
      <c r="J19" s="144">
        <v>392200263</v>
      </c>
      <c r="K19" s="144">
        <v>742556464</v>
      </c>
      <c r="L19" s="145">
        <v>755437407</v>
      </c>
      <c r="M19" s="144">
        <v>792571059</v>
      </c>
      <c r="N19" s="144">
        <v>6423930</v>
      </c>
      <c r="O19" s="99"/>
      <c r="P19" s="99"/>
      <c r="Q19" s="142"/>
      <c r="R19" s="142"/>
    </row>
    <row r="20" spans="1:22" ht="12.95" customHeight="1" x14ac:dyDescent="0.2">
      <c r="A20" s="122" t="s">
        <v>633</v>
      </c>
      <c r="B20" s="121">
        <v>740</v>
      </c>
      <c r="C20" s="120">
        <v>39356</v>
      </c>
      <c r="D20" s="119">
        <v>39356</v>
      </c>
      <c r="E20" s="118" t="s">
        <v>631</v>
      </c>
      <c r="F20" s="117" t="s">
        <v>678</v>
      </c>
      <c r="G20" s="144">
        <v>6884155</v>
      </c>
      <c r="H20" s="144">
        <v>19144089</v>
      </c>
      <c r="I20" s="144">
        <v>96165992</v>
      </c>
      <c r="J20" s="144">
        <v>202234462</v>
      </c>
      <c r="K20" s="144">
        <v>342045029</v>
      </c>
      <c r="L20" s="145">
        <v>371048048</v>
      </c>
      <c r="M20" s="144">
        <v>408210722</v>
      </c>
      <c r="N20" s="144">
        <v>3632735</v>
      </c>
      <c r="O20" s="99"/>
      <c r="P20" s="99"/>
      <c r="Q20" s="142"/>
      <c r="R20" s="142"/>
    </row>
    <row r="21" spans="1:22" ht="20.100000000000001" customHeight="1" x14ac:dyDescent="0.2">
      <c r="A21" s="127" t="s">
        <v>632</v>
      </c>
      <c r="B21" s="126">
        <v>171</v>
      </c>
      <c r="C21" s="125">
        <v>28033</v>
      </c>
      <c r="D21" s="124">
        <v>28033</v>
      </c>
      <c r="E21" s="123" t="s">
        <v>631</v>
      </c>
      <c r="F21" s="117" t="s">
        <v>677</v>
      </c>
      <c r="G21" s="148">
        <v>375078</v>
      </c>
      <c r="H21" s="148">
        <v>281941</v>
      </c>
      <c r="I21" s="148">
        <v>828014</v>
      </c>
      <c r="J21" s="148">
        <v>4010155</v>
      </c>
      <c r="K21" s="148">
        <v>26036230</v>
      </c>
      <c r="L21" s="149">
        <v>23797797</v>
      </c>
      <c r="M21" s="148">
        <v>24233625</v>
      </c>
      <c r="N21" s="148">
        <v>36879</v>
      </c>
      <c r="O21" s="99"/>
      <c r="P21" s="99"/>
      <c r="Q21" s="142"/>
      <c r="R21" s="142"/>
    </row>
    <row r="22" spans="1:22" ht="12.95" customHeight="1" x14ac:dyDescent="0.2">
      <c r="A22" s="122" t="s">
        <v>630</v>
      </c>
      <c r="B22" s="121">
        <v>42</v>
      </c>
      <c r="C22" s="120">
        <v>31048</v>
      </c>
      <c r="D22" s="119">
        <v>31048</v>
      </c>
      <c r="E22" s="118" t="s">
        <v>624</v>
      </c>
      <c r="F22" s="117" t="s">
        <v>676</v>
      </c>
      <c r="G22" s="103"/>
      <c r="H22" s="103"/>
      <c r="I22" s="103"/>
      <c r="J22" s="103"/>
      <c r="K22" s="103"/>
      <c r="L22" s="147"/>
      <c r="M22" s="103"/>
      <c r="N22" s="103"/>
      <c r="O22" s="99"/>
      <c r="P22" s="99"/>
      <c r="Q22" s="142"/>
      <c r="R22" s="142"/>
    </row>
    <row r="23" spans="1:22" ht="12.95" customHeight="1" x14ac:dyDescent="0.2">
      <c r="A23" s="122" t="s">
        <v>629</v>
      </c>
      <c r="B23" s="121">
        <v>6</v>
      </c>
      <c r="C23" s="120">
        <v>28887</v>
      </c>
      <c r="D23" s="119">
        <v>28887</v>
      </c>
      <c r="E23" s="118" t="s">
        <v>624</v>
      </c>
      <c r="F23" s="117" t="s">
        <v>676</v>
      </c>
      <c r="G23" s="103"/>
      <c r="H23" s="103"/>
      <c r="I23" s="103"/>
      <c r="J23" s="103"/>
      <c r="K23" s="103"/>
      <c r="L23" s="147"/>
      <c r="M23" s="103"/>
      <c r="N23" s="103"/>
      <c r="O23" s="99"/>
      <c r="P23" s="99"/>
      <c r="Q23" s="142"/>
      <c r="R23" s="142"/>
    </row>
    <row r="24" spans="1:22" ht="12.95" customHeight="1" x14ac:dyDescent="0.2">
      <c r="A24" s="122" t="s">
        <v>628</v>
      </c>
      <c r="B24" s="121">
        <v>360</v>
      </c>
      <c r="C24" s="120">
        <v>26184</v>
      </c>
      <c r="D24" s="119">
        <v>26184</v>
      </c>
      <c r="E24" s="118" t="s">
        <v>624</v>
      </c>
      <c r="F24" s="117" t="s">
        <v>676</v>
      </c>
      <c r="G24" s="103"/>
      <c r="H24" s="103"/>
      <c r="I24" s="103"/>
      <c r="J24" s="103"/>
      <c r="K24" s="103"/>
      <c r="L24" s="147"/>
      <c r="M24" s="103"/>
      <c r="N24" s="103"/>
      <c r="O24" s="99"/>
      <c r="P24" s="99"/>
      <c r="Q24" s="142"/>
      <c r="R24" s="142"/>
    </row>
    <row r="25" spans="1:22" ht="12.95" customHeight="1" x14ac:dyDescent="0.2">
      <c r="A25" s="122" t="s">
        <v>627</v>
      </c>
      <c r="B25" s="121">
        <v>2</v>
      </c>
      <c r="C25" s="120">
        <v>30376</v>
      </c>
      <c r="D25" s="119">
        <v>30376</v>
      </c>
      <c r="E25" s="118" t="s">
        <v>624</v>
      </c>
      <c r="F25" s="117" t="s">
        <v>676</v>
      </c>
      <c r="G25" s="103"/>
      <c r="H25" s="103"/>
      <c r="I25" s="103"/>
      <c r="J25" s="103"/>
      <c r="K25" s="103"/>
      <c r="L25" s="147"/>
      <c r="M25" s="103"/>
      <c r="N25" s="103"/>
      <c r="O25" s="99"/>
      <c r="P25" s="99"/>
      <c r="Q25" s="142"/>
      <c r="R25" s="142"/>
    </row>
    <row r="26" spans="1:22" ht="12.95" customHeight="1" x14ac:dyDescent="0.2">
      <c r="A26" s="122" t="s">
        <v>626</v>
      </c>
      <c r="B26" s="121">
        <v>11</v>
      </c>
      <c r="C26" s="120">
        <v>28946</v>
      </c>
      <c r="D26" s="119">
        <v>28946</v>
      </c>
      <c r="E26" s="118" t="s">
        <v>624</v>
      </c>
      <c r="F26" s="117" t="s">
        <v>676</v>
      </c>
      <c r="G26" s="103"/>
      <c r="H26" s="103"/>
      <c r="I26" s="103"/>
      <c r="J26" s="103"/>
      <c r="K26" s="103"/>
      <c r="L26" s="147"/>
      <c r="M26" s="103"/>
      <c r="N26" s="103"/>
      <c r="O26" s="99"/>
      <c r="P26" s="99"/>
      <c r="Q26" s="142"/>
      <c r="R26" s="142"/>
    </row>
    <row r="27" spans="1:22" ht="12.95" customHeight="1" x14ac:dyDescent="0.2">
      <c r="A27" s="122" t="s">
        <v>625</v>
      </c>
      <c r="B27" s="121">
        <v>240</v>
      </c>
      <c r="C27" s="120">
        <v>28126</v>
      </c>
      <c r="D27" s="119">
        <v>28126</v>
      </c>
      <c r="E27" s="118" t="s">
        <v>624</v>
      </c>
      <c r="F27" s="117" t="s">
        <v>676</v>
      </c>
      <c r="G27" s="103"/>
      <c r="H27" s="103"/>
      <c r="I27" s="103"/>
      <c r="J27" s="103"/>
      <c r="K27" s="103"/>
      <c r="L27" s="147"/>
      <c r="M27" s="103"/>
      <c r="N27" s="103"/>
      <c r="O27" s="99"/>
      <c r="P27" s="99"/>
      <c r="Q27" s="142"/>
      <c r="R27" s="142"/>
    </row>
    <row r="28" spans="1:22" ht="12.95" customHeight="1" x14ac:dyDescent="0.2">
      <c r="A28" s="122" t="s">
        <v>623</v>
      </c>
      <c r="B28" s="121">
        <v>1000</v>
      </c>
      <c r="C28" s="120">
        <v>29754</v>
      </c>
      <c r="D28" s="119">
        <v>29754</v>
      </c>
      <c r="E28" s="118" t="s">
        <v>621</v>
      </c>
      <c r="F28" s="117" t="s">
        <v>676</v>
      </c>
      <c r="G28" s="103"/>
      <c r="H28" s="103"/>
      <c r="I28" s="103"/>
      <c r="J28" s="103"/>
      <c r="K28" s="103"/>
      <c r="L28" s="147"/>
      <c r="M28" s="103"/>
      <c r="N28" s="103"/>
      <c r="O28" s="99"/>
      <c r="P28" s="99"/>
      <c r="Q28" s="142"/>
      <c r="R28" s="142"/>
    </row>
    <row r="29" spans="1:22" ht="12.95" customHeight="1" x14ac:dyDescent="0.2">
      <c r="A29" s="122" t="s">
        <v>622</v>
      </c>
      <c r="B29" s="121">
        <v>400</v>
      </c>
      <c r="C29" s="120">
        <v>32251</v>
      </c>
      <c r="D29" s="119">
        <v>32251</v>
      </c>
      <c r="E29" s="118" t="s">
        <v>621</v>
      </c>
      <c r="F29" s="117" t="s">
        <v>676</v>
      </c>
      <c r="G29" s="103"/>
      <c r="H29" s="103"/>
      <c r="I29" s="103"/>
      <c r="J29" s="103"/>
      <c r="K29" s="103"/>
      <c r="L29" s="147"/>
      <c r="M29" s="103"/>
      <c r="N29" s="103"/>
      <c r="O29" s="99"/>
      <c r="P29" s="99"/>
      <c r="Q29" s="142"/>
      <c r="R29" s="142"/>
    </row>
    <row r="30" spans="1:22" ht="12.95" customHeight="1" x14ac:dyDescent="0.2">
      <c r="A30" s="122" t="s">
        <v>620</v>
      </c>
      <c r="B30" s="121">
        <v>1600</v>
      </c>
      <c r="C30" s="120">
        <v>24462</v>
      </c>
      <c r="D30" s="119">
        <v>38504</v>
      </c>
      <c r="E30" s="118" t="s">
        <v>617</v>
      </c>
      <c r="F30" s="117" t="s">
        <v>675</v>
      </c>
      <c r="G30" s="144">
        <v>4732163</v>
      </c>
      <c r="H30" s="144">
        <v>4629763</v>
      </c>
      <c r="I30" s="144">
        <v>4329462</v>
      </c>
      <c r="J30" s="144">
        <v>8379789</v>
      </c>
      <c r="K30" s="144">
        <v>5297913</v>
      </c>
      <c r="L30" s="145">
        <v>5074264</v>
      </c>
      <c r="M30" s="144">
        <v>4560670</v>
      </c>
      <c r="N30" s="144">
        <v>4492749</v>
      </c>
      <c r="O30" s="99">
        <v>3904520</v>
      </c>
      <c r="P30" s="107">
        <f>'eskom production 2009-YTD'!Q30*3.6/V30/P69</f>
        <v>4136500.4615444024</v>
      </c>
      <c r="Q30" s="142">
        <f>$P$34/$P$33*P30/1000000</f>
        <v>4.1340509200956976</v>
      </c>
      <c r="R30" s="142">
        <f>Q30*P69</f>
        <v>90.098176557023521</v>
      </c>
      <c r="S30" s="142">
        <f>'eskom production 2009-YTD'!AB30*3.6/V30/P69</f>
        <v>3.9211405842125462</v>
      </c>
      <c r="T30" s="88">
        <f>'eskom production 2009-YTD'!O60</f>
        <v>0.31246526077469189</v>
      </c>
      <c r="U30" s="88">
        <f>AVERAGE('eskom production 2009-YTD'!G60:M60)</f>
        <v>0.2805027762784329</v>
      </c>
      <c r="V30" s="146">
        <f>U30</f>
        <v>0.2805027762784329</v>
      </c>
    </row>
    <row r="31" spans="1:22" ht="12.95" customHeight="1" x14ac:dyDescent="0.2">
      <c r="A31" s="122" t="s">
        <v>619</v>
      </c>
      <c r="B31" s="121">
        <v>1200</v>
      </c>
      <c r="C31" s="120">
        <v>25384</v>
      </c>
      <c r="D31" s="119">
        <v>25384</v>
      </c>
      <c r="E31" s="118" t="s">
        <v>617</v>
      </c>
      <c r="F31" s="117" t="s">
        <v>675</v>
      </c>
      <c r="G31" s="144">
        <v>1637371</v>
      </c>
      <c r="H31" s="144">
        <v>2132979</v>
      </c>
      <c r="I31" s="144">
        <v>3821963</v>
      </c>
      <c r="J31" s="144">
        <v>5491180</v>
      </c>
      <c r="K31" s="144">
        <v>4613355</v>
      </c>
      <c r="L31" s="145">
        <v>3964825</v>
      </c>
      <c r="M31" s="144">
        <v>3293564</v>
      </c>
      <c r="N31" s="144">
        <v>2821309</v>
      </c>
      <c r="O31" s="99">
        <v>2322971</v>
      </c>
      <c r="P31" s="99">
        <f>3/12*N31+9/12*O31</f>
        <v>2447555.5</v>
      </c>
      <c r="Q31" s="142">
        <f>$P$34/$P$33*P31/1000000</f>
        <v>2.4461061133261701</v>
      </c>
      <c r="R31" s="142">
        <f>Q31*P70</f>
        <v>50.006498818092432</v>
      </c>
      <c r="S31" s="142">
        <f>'eskom production 2009-YTD'!AB31*3.6/V31/P70</f>
        <v>2.270264187179603</v>
      </c>
      <c r="T31" s="88">
        <f>'eskom production 2009-YTD'!O61</f>
        <v>0.25533648073953574</v>
      </c>
      <c r="U31" s="88">
        <f>AVERAGE('eskom production 2009-YTD'!G61:M61)</f>
        <v>0.27316307021326686</v>
      </c>
      <c r="V31" s="88">
        <f>U31</f>
        <v>0.27316307021326686</v>
      </c>
    </row>
    <row r="32" spans="1:22" ht="12.95" customHeight="1" x14ac:dyDescent="0.2">
      <c r="A32" s="122" t="s">
        <v>618</v>
      </c>
      <c r="B32" s="121">
        <v>1000</v>
      </c>
      <c r="C32" s="120">
        <v>22591</v>
      </c>
      <c r="D32" s="119">
        <v>22591</v>
      </c>
      <c r="E32" s="118" t="s">
        <v>617</v>
      </c>
      <c r="F32" s="117" t="s">
        <v>675</v>
      </c>
      <c r="G32" s="144">
        <v>664497</v>
      </c>
      <c r="H32" s="144">
        <v>1271010</v>
      </c>
      <c r="I32" s="144">
        <v>1390186</v>
      </c>
      <c r="J32" s="144">
        <v>4104105</v>
      </c>
      <c r="K32" s="144">
        <v>2979546</v>
      </c>
      <c r="L32" s="145">
        <v>2482388</v>
      </c>
      <c r="M32" s="144">
        <v>2494856</v>
      </c>
      <c r="N32" s="144">
        <v>2499772</v>
      </c>
      <c r="O32" s="99">
        <v>1555263</v>
      </c>
      <c r="P32" s="99">
        <f>3/12*N32+9/12*O32</f>
        <v>1791390.25</v>
      </c>
      <c r="Q32" s="142">
        <f>$P$34/$P$33*P32/1000000</f>
        <v>1.7903294294564092</v>
      </c>
      <c r="R32" s="142">
        <f>Q32*P71</f>
        <v>39.959731712600785</v>
      </c>
      <c r="S32" s="142">
        <f>'eskom production 2009-YTD'!AB32*3.6/V32/P71</f>
        <v>1.4600051039866759</v>
      </c>
      <c r="T32" s="88">
        <f>'eskom production 2009-YTD'!O62</f>
        <v>0.24354095003316389</v>
      </c>
      <c r="U32" s="88">
        <f>AVERAGE('eskom production 2009-YTD'!G62:M62)</f>
        <v>0.26721093313230826</v>
      </c>
      <c r="V32" s="88">
        <f>U32</f>
        <v>0.26721093313230826</v>
      </c>
    </row>
    <row r="33" spans="1:20" outlineLevel="1" x14ac:dyDescent="0.2">
      <c r="A33" s="143" t="s">
        <v>674</v>
      </c>
      <c r="B33" s="143"/>
      <c r="C33" s="143"/>
      <c r="D33" s="143"/>
      <c r="E33" s="143"/>
      <c r="F33" s="143"/>
      <c r="G33" s="143"/>
      <c r="H33" s="143"/>
      <c r="I33" s="143"/>
      <c r="J33" s="143"/>
      <c r="K33" s="143"/>
      <c r="L33" s="143"/>
      <c r="P33" s="77">
        <f>SUM(P5:P32)/1000000</f>
        <v>114.36972714997506</v>
      </c>
      <c r="Q33" s="142">
        <f>SUM(Q5:Q32)</f>
        <v>114.30199999999999</v>
      </c>
      <c r="R33" s="142"/>
      <c r="S33" s="142">
        <f>SUM(S5:S32)</f>
        <v>111.94229376948363</v>
      </c>
    </row>
    <row r="34" spans="1:20" ht="12" customHeight="1" outlineLevel="1" x14ac:dyDescent="0.2">
      <c r="A34" s="139" t="s">
        <v>673</v>
      </c>
      <c r="B34" s="138"/>
      <c r="C34" s="138"/>
      <c r="D34" s="138"/>
      <c r="E34" s="138"/>
      <c r="F34" s="138"/>
      <c r="G34" s="138"/>
      <c r="H34" s="138"/>
      <c r="I34" s="138"/>
      <c r="J34" s="138"/>
      <c r="K34" s="138"/>
      <c r="L34" s="138"/>
      <c r="O34" s="77" t="s">
        <v>672</v>
      </c>
      <c r="P34" s="77">
        <v>114.30200000000001</v>
      </c>
    </row>
    <row r="35" spans="1:20" ht="12.95" customHeight="1" outlineLevel="1" x14ac:dyDescent="0.2">
      <c r="A35" s="139" t="s">
        <v>671</v>
      </c>
      <c r="B35" s="138"/>
      <c r="C35" s="138"/>
      <c r="D35" s="138"/>
      <c r="E35" s="138"/>
      <c r="F35" s="138"/>
      <c r="G35" s="138"/>
      <c r="H35" s="138"/>
      <c r="I35" s="138"/>
      <c r="J35" s="138"/>
      <c r="K35" s="138"/>
      <c r="L35" s="138"/>
    </row>
    <row r="36" spans="1:20" ht="12.95" customHeight="1" outlineLevel="1" x14ac:dyDescent="0.2">
      <c r="A36" s="139" t="s">
        <v>670</v>
      </c>
      <c r="B36" s="138"/>
      <c r="C36" s="138"/>
      <c r="D36" s="138"/>
      <c r="E36" s="138"/>
      <c r="F36" s="138"/>
      <c r="G36" s="138"/>
      <c r="H36" s="138"/>
      <c r="I36" s="138"/>
      <c r="J36" s="138"/>
      <c r="K36" s="138"/>
      <c r="L36" s="138"/>
    </row>
    <row r="37" spans="1:20" ht="12.95" customHeight="1" outlineLevel="1" x14ac:dyDescent="0.2">
      <c r="A37" s="141" t="s">
        <v>669</v>
      </c>
      <c r="B37" s="140"/>
      <c r="C37" s="140"/>
      <c r="D37" s="140"/>
      <c r="E37" s="140"/>
      <c r="F37" s="140"/>
      <c r="G37" s="140"/>
      <c r="H37" s="140"/>
      <c r="I37" s="140"/>
      <c r="J37" s="140"/>
      <c r="K37" s="140"/>
      <c r="L37" s="140"/>
    </row>
    <row r="38" spans="1:20" ht="12" customHeight="1" outlineLevel="1" x14ac:dyDescent="0.2">
      <c r="A38" s="139" t="s">
        <v>668</v>
      </c>
      <c r="B38" s="138"/>
      <c r="C38" s="138"/>
      <c r="D38" s="138"/>
      <c r="E38" s="138"/>
      <c r="F38" s="138"/>
      <c r="G38" s="138"/>
      <c r="H38" s="138"/>
      <c r="I38" s="138"/>
      <c r="J38" s="138"/>
      <c r="K38" s="138"/>
      <c r="L38" s="138"/>
    </row>
    <row r="39" spans="1:20" ht="12.95" customHeight="1" outlineLevel="1" x14ac:dyDescent="0.2">
      <c r="A39" s="139" t="s">
        <v>667</v>
      </c>
      <c r="B39" s="138"/>
      <c r="C39" s="138"/>
      <c r="D39" s="138"/>
      <c r="E39" s="138"/>
      <c r="F39" s="138"/>
      <c r="G39" s="138"/>
      <c r="H39" s="138"/>
      <c r="I39" s="138"/>
      <c r="J39" s="138"/>
      <c r="K39" s="138"/>
      <c r="L39" s="138"/>
    </row>
    <row r="40" spans="1:20" ht="9.9499999999999993" customHeight="1" outlineLevel="1" x14ac:dyDescent="0.2">
      <c r="A40" s="139" t="s">
        <v>666</v>
      </c>
      <c r="B40" s="138"/>
      <c r="C40" s="138"/>
      <c r="D40" s="138"/>
      <c r="E40" s="138"/>
      <c r="F40" s="138"/>
      <c r="G40" s="138"/>
      <c r="H40" s="138"/>
      <c r="I40" s="138"/>
      <c r="J40" s="138"/>
      <c r="K40" s="138"/>
      <c r="L40" s="138"/>
    </row>
    <row r="42" spans="1:20" s="45" customFormat="1" ht="36" x14ac:dyDescent="0.2">
      <c r="A42" s="137" t="s">
        <v>665</v>
      </c>
      <c r="B42" s="136" t="s">
        <v>664</v>
      </c>
      <c r="C42" s="134" t="s">
        <v>663</v>
      </c>
      <c r="D42" s="136" t="s">
        <v>662</v>
      </c>
      <c r="E42" s="135" t="s">
        <v>661</v>
      </c>
      <c r="F42" s="134" t="s">
        <v>660</v>
      </c>
      <c r="G42" s="133" t="s">
        <v>659</v>
      </c>
      <c r="H42" s="132"/>
      <c r="I42" s="132"/>
      <c r="J42" s="132"/>
      <c r="K42" s="132"/>
      <c r="L42" s="132"/>
      <c r="M42" s="132"/>
      <c r="N42" s="131"/>
      <c r="O42" s="45">
        <v>0</v>
      </c>
    </row>
    <row r="43" spans="1:20" s="45" customFormat="1" ht="18" x14ac:dyDescent="0.2">
      <c r="A43" s="93"/>
      <c r="B43" s="93"/>
      <c r="C43" s="93"/>
      <c r="D43" s="93"/>
      <c r="E43" s="93"/>
      <c r="F43" s="93"/>
      <c r="G43" s="129" t="s">
        <v>658</v>
      </c>
      <c r="H43" s="129" t="s">
        <v>657</v>
      </c>
      <c r="I43" s="129" t="s">
        <v>656</v>
      </c>
      <c r="J43" s="129" t="s">
        <v>655</v>
      </c>
      <c r="K43" s="129" t="s">
        <v>654</v>
      </c>
      <c r="L43" s="130" t="s">
        <v>653</v>
      </c>
      <c r="M43" s="129" t="s">
        <v>652</v>
      </c>
      <c r="N43" s="129" t="s">
        <v>651</v>
      </c>
      <c r="O43" s="129" t="s">
        <v>596</v>
      </c>
      <c r="P43" s="77" t="s">
        <v>650</v>
      </c>
      <c r="Q43" s="77"/>
      <c r="R43" s="77"/>
      <c r="S43" s="45" t="s">
        <v>649</v>
      </c>
    </row>
    <row r="44" spans="1:20" s="45" customFormat="1" ht="18" x14ac:dyDescent="0.2">
      <c r="A44" s="122" t="s">
        <v>648</v>
      </c>
      <c r="B44" s="121">
        <v>1980</v>
      </c>
      <c r="C44" s="120">
        <v>26197</v>
      </c>
      <c r="D44" s="119">
        <v>26197</v>
      </c>
      <c r="E44" s="118" t="s">
        <v>617</v>
      </c>
      <c r="F44" s="117" t="s">
        <v>616</v>
      </c>
      <c r="G44" s="115">
        <f t="shared" ref="G44:J54" si="5">$K44</f>
        <v>21.5</v>
      </c>
      <c r="H44" s="115">
        <f t="shared" si="5"/>
        <v>21.5</v>
      </c>
      <c r="I44" s="115">
        <f t="shared" si="5"/>
        <v>21.5</v>
      </c>
      <c r="J44" s="115">
        <f t="shared" si="5"/>
        <v>21.5</v>
      </c>
      <c r="K44" s="116">
        <v>21.5</v>
      </c>
      <c r="L44" s="115">
        <f t="shared" ref="L44:N54" si="6">$K44</f>
        <v>21.5</v>
      </c>
      <c r="M44" s="115">
        <f t="shared" si="6"/>
        <v>21.5</v>
      </c>
      <c r="N44" s="115">
        <f t="shared" si="6"/>
        <v>21.5</v>
      </c>
      <c r="O44" s="114">
        <f t="shared" ref="O44:O54" si="7">S44*$O$42+K44*(1-$O$42)</f>
        <v>21.5</v>
      </c>
      <c r="P44" s="114">
        <v>21.229632599417062</v>
      </c>
      <c r="Q44" s="77"/>
      <c r="R44" s="77"/>
      <c r="S44" s="45">
        <v>20.5</v>
      </c>
      <c r="T44" s="90">
        <f t="shared" ref="T44:T54" si="8">P5*P44/1000000</f>
        <v>120.1889177419355</v>
      </c>
    </row>
    <row r="45" spans="1:20" s="45" customFormat="1" ht="18" x14ac:dyDescent="0.2">
      <c r="A45" s="122" t="s">
        <v>647</v>
      </c>
      <c r="B45" s="121">
        <v>3450</v>
      </c>
      <c r="C45" s="120">
        <v>29238</v>
      </c>
      <c r="D45" s="119">
        <v>29238</v>
      </c>
      <c r="E45" s="118" t="s">
        <v>617</v>
      </c>
      <c r="F45" s="117" t="s">
        <v>616</v>
      </c>
      <c r="G45" s="115">
        <f t="shared" si="5"/>
        <v>20.48</v>
      </c>
      <c r="H45" s="115">
        <f t="shared" si="5"/>
        <v>20.48</v>
      </c>
      <c r="I45" s="115">
        <f t="shared" si="5"/>
        <v>20.48</v>
      </c>
      <c r="J45" s="115">
        <f t="shared" si="5"/>
        <v>20.48</v>
      </c>
      <c r="K45" s="116">
        <v>20.48</v>
      </c>
      <c r="L45" s="115">
        <f t="shared" si="6"/>
        <v>20.48</v>
      </c>
      <c r="M45" s="115">
        <f t="shared" si="6"/>
        <v>20.48</v>
      </c>
      <c r="N45" s="115">
        <f t="shared" si="6"/>
        <v>20.48</v>
      </c>
      <c r="O45" s="114">
        <f t="shared" si="7"/>
        <v>20.48</v>
      </c>
      <c r="P45" s="114">
        <v>20.850256603515025</v>
      </c>
      <c r="Q45" s="77"/>
      <c r="R45" s="77"/>
      <c r="S45" s="45">
        <v>20.8</v>
      </c>
      <c r="T45" s="90">
        <f t="shared" si="8"/>
        <v>150.72141418725928</v>
      </c>
    </row>
    <row r="46" spans="1:20" s="45" customFormat="1" ht="18" x14ac:dyDescent="0.2">
      <c r="A46" s="122" t="s">
        <v>646</v>
      </c>
      <c r="B46" s="121">
        <v>1895</v>
      </c>
      <c r="C46" s="120">
        <v>25700</v>
      </c>
      <c r="D46" s="119">
        <v>25700</v>
      </c>
      <c r="E46" s="118" t="s">
        <v>617</v>
      </c>
      <c r="F46" s="117" t="s">
        <v>616</v>
      </c>
      <c r="G46" s="115">
        <f t="shared" si="5"/>
        <v>21.38</v>
      </c>
      <c r="H46" s="115">
        <f t="shared" si="5"/>
        <v>21.38</v>
      </c>
      <c r="I46" s="115">
        <f t="shared" si="5"/>
        <v>21.38</v>
      </c>
      <c r="J46" s="115">
        <f t="shared" si="5"/>
        <v>21.38</v>
      </c>
      <c r="K46" s="116">
        <v>21.38</v>
      </c>
      <c r="L46" s="115">
        <f t="shared" si="6"/>
        <v>21.38</v>
      </c>
      <c r="M46" s="115">
        <f t="shared" si="6"/>
        <v>21.38</v>
      </c>
      <c r="N46" s="115">
        <f t="shared" si="6"/>
        <v>21.38</v>
      </c>
      <c r="O46" s="114">
        <f t="shared" si="7"/>
        <v>21.38</v>
      </c>
      <c r="P46" s="114">
        <v>21.321782227606356</v>
      </c>
      <c r="Q46" s="77"/>
      <c r="R46" s="77"/>
      <c r="S46" s="45">
        <v>20.6</v>
      </c>
      <c r="T46" s="90">
        <f t="shared" si="8"/>
        <v>106.84915431928134</v>
      </c>
    </row>
    <row r="47" spans="1:20" s="45" customFormat="1" ht="18" x14ac:dyDescent="0.2">
      <c r="A47" s="122" t="s">
        <v>645</v>
      </c>
      <c r="B47" s="121">
        <v>3840</v>
      </c>
      <c r="C47" s="120">
        <v>32417</v>
      </c>
      <c r="D47" s="119">
        <v>32417</v>
      </c>
      <c r="E47" s="118" t="s">
        <v>617</v>
      </c>
      <c r="F47" s="117" t="s">
        <v>616</v>
      </c>
      <c r="G47" s="115">
        <f t="shared" si="5"/>
        <v>18.899999999999999</v>
      </c>
      <c r="H47" s="115">
        <f t="shared" si="5"/>
        <v>18.899999999999999</v>
      </c>
      <c r="I47" s="115">
        <f t="shared" si="5"/>
        <v>18.899999999999999</v>
      </c>
      <c r="J47" s="115">
        <f t="shared" si="5"/>
        <v>18.899999999999999</v>
      </c>
      <c r="K47" s="116">
        <v>18.899999999999999</v>
      </c>
      <c r="L47" s="115">
        <f t="shared" si="6"/>
        <v>18.899999999999999</v>
      </c>
      <c r="M47" s="115">
        <f t="shared" si="6"/>
        <v>18.899999999999999</v>
      </c>
      <c r="N47" s="115">
        <f t="shared" si="6"/>
        <v>18.899999999999999</v>
      </c>
      <c r="O47" s="114">
        <f t="shared" si="7"/>
        <v>18.899999999999999</v>
      </c>
      <c r="P47" s="114">
        <v>19.902450329114647</v>
      </c>
      <c r="Q47" s="77"/>
      <c r="R47" s="77"/>
      <c r="S47" s="45">
        <v>18.5</v>
      </c>
      <c r="T47" s="90">
        <f t="shared" si="8"/>
        <v>275.99060554252651</v>
      </c>
    </row>
    <row r="48" spans="1:20" s="45" customFormat="1" ht="18" x14ac:dyDescent="0.2">
      <c r="A48" s="122" t="s">
        <v>644</v>
      </c>
      <c r="B48" s="121">
        <v>2850</v>
      </c>
      <c r="C48" s="120">
        <v>27886</v>
      </c>
      <c r="D48" s="119">
        <v>27886</v>
      </c>
      <c r="E48" s="118" t="s">
        <v>617</v>
      </c>
      <c r="F48" s="117" t="s">
        <v>616</v>
      </c>
      <c r="G48" s="115">
        <f t="shared" si="5"/>
        <v>20</v>
      </c>
      <c r="H48" s="115">
        <f t="shared" si="5"/>
        <v>20</v>
      </c>
      <c r="I48" s="115">
        <f t="shared" si="5"/>
        <v>20</v>
      </c>
      <c r="J48" s="115">
        <f t="shared" si="5"/>
        <v>20</v>
      </c>
      <c r="K48" s="116">
        <v>20</v>
      </c>
      <c r="L48" s="115">
        <f t="shared" si="6"/>
        <v>20</v>
      </c>
      <c r="M48" s="115">
        <f t="shared" si="6"/>
        <v>20</v>
      </c>
      <c r="N48" s="115">
        <f t="shared" si="6"/>
        <v>20</v>
      </c>
      <c r="O48" s="114">
        <f t="shared" si="7"/>
        <v>20</v>
      </c>
      <c r="P48" s="114">
        <v>20.6</v>
      </c>
      <c r="Q48" s="77"/>
      <c r="R48" s="77"/>
      <c r="S48" s="45">
        <v>20.9</v>
      </c>
      <c r="T48" s="90">
        <f t="shared" si="8"/>
        <v>147.79802175</v>
      </c>
    </row>
    <row r="49" spans="1:20" s="45" customFormat="1" ht="18" x14ac:dyDescent="0.2">
      <c r="A49" s="122" t="s">
        <v>643</v>
      </c>
      <c r="B49" s="121">
        <v>3558</v>
      </c>
      <c r="C49" s="120">
        <v>31403</v>
      </c>
      <c r="D49" s="119">
        <v>31403</v>
      </c>
      <c r="E49" s="118" t="s">
        <v>617</v>
      </c>
      <c r="F49" s="117" t="s">
        <v>616</v>
      </c>
      <c r="G49" s="115">
        <f t="shared" si="5"/>
        <v>14.6</v>
      </c>
      <c r="H49" s="115">
        <f t="shared" si="5"/>
        <v>14.6</v>
      </c>
      <c r="I49" s="115">
        <f t="shared" si="5"/>
        <v>14.6</v>
      </c>
      <c r="J49" s="115">
        <f t="shared" si="5"/>
        <v>14.6</v>
      </c>
      <c r="K49" s="128">
        <v>14.6</v>
      </c>
      <c r="L49" s="115">
        <f t="shared" si="6"/>
        <v>14.6</v>
      </c>
      <c r="M49" s="115">
        <f t="shared" si="6"/>
        <v>14.6</v>
      </c>
      <c r="N49" s="115">
        <f t="shared" si="6"/>
        <v>14.6</v>
      </c>
      <c r="O49" s="114">
        <f t="shared" si="7"/>
        <v>14.6</v>
      </c>
      <c r="P49" s="114">
        <v>14.6</v>
      </c>
      <c r="Q49" s="77"/>
      <c r="R49" s="77"/>
      <c r="S49" s="45">
        <v>15.4</v>
      </c>
      <c r="T49" s="90">
        <f t="shared" si="8"/>
        <v>203.50567588235293</v>
      </c>
    </row>
    <row r="50" spans="1:20" s="45" customFormat="1" ht="18" x14ac:dyDescent="0.2">
      <c r="A50" s="122" t="s">
        <v>642</v>
      </c>
      <c r="B50" s="121">
        <v>3690</v>
      </c>
      <c r="C50" s="120">
        <v>32115</v>
      </c>
      <c r="D50" s="119">
        <v>32115</v>
      </c>
      <c r="E50" s="118" t="s">
        <v>617</v>
      </c>
      <c r="F50" s="117" t="s">
        <v>616</v>
      </c>
      <c r="G50" s="115">
        <f t="shared" si="5"/>
        <v>20.5</v>
      </c>
      <c r="H50" s="115">
        <f t="shared" si="5"/>
        <v>20.5</v>
      </c>
      <c r="I50" s="115">
        <f t="shared" si="5"/>
        <v>20.5</v>
      </c>
      <c r="J50" s="115">
        <f t="shared" si="5"/>
        <v>20.5</v>
      </c>
      <c r="K50" s="116">
        <v>20.5</v>
      </c>
      <c r="L50" s="115">
        <f t="shared" si="6"/>
        <v>20.5</v>
      </c>
      <c r="M50" s="115">
        <f t="shared" si="6"/>
        <v>20.5</v>
      </c>
      <c r="N50" s="115">
        <f t="shared" si="6"/>
        <v>20.5</v>
      </c>
      <c r="O50" s="114">
        <f t="shared" si="7"/>
        <v>20.5</v>
      </c>
      <c r="P50" s="114">
        <v>19.600000000000001</v>
      </c>
      <c r="Q50" s="77"/>
      <c r="R50" s="77"/>
      <c r="S50" s="45">
        <v>18.7</v>
      </c>
      <c r="T50" s="90">
        <f t="shared" si="8"/>
        <v>277.19067726474384</v>
      </c>
    </row>
    <row r="51" spans="1:20" s="45" customFormat="1" ht="18" x14ac:dyDescent="0.2">
      <c r="A51" s="122" t="s">
        <v>641</v>
      </c>
      <c r="B51" s="121">
        <v>3843</v>
      </c>
      <c r="C51" s="120">
        <v>35156</v>
      </c>
      <c r="D51" s="119">
        <v>35156</v>
      </c>
      <c r="E51" s="118" t="s">
        <v>617</v>
      </c>
      <c r="F51" s="117" t="s">
        <v>616</v>
      </c>
      <c r="G51" s="115">
        <f t="shared" si="5"/>
        <v>22.26</v>
      </c>
      <c r="H51" s="115">
        <f t="shared" si="5"/>
        <v>22.26</v>
      </c>
      <c r="I51" s="115">
        <f t="shared" si="5"/>
        <v>22.26</v>
      </c>
      <c r="J51" s="115">
        <f t="shared" si="5"/>
        <v>22.26</v>
      </c>
      <c r="K51" s="116">
        <v>22.26</v>
      </c>
      <c r="L51" s="115">
        <f t="shared" si="6"/>
        <v>22.26</v>
      </c>
      <c r="M51" s="115">
        <f t="shared" si="6"/>
        <v>22.26</v>
      </c>
      <c r="N51" s="115">
        <f t="shared" si="6"/>
        <v>22.26</v>
      </c>
      <c r="O51" s="114">
        <f t="shared" si="7"/>
        <v>22.26</v>
      </c>
      <c r="P51" s="114">
        <v>21.392505540441725</v>
      </c>
      <c r="Q51" s="77"/>
      <c r="R51" s="77"/>
      <c r="S51" s="45">
        <v>18.600000000000001</v>
      </c>
      <c r="T51" s="90">
        <f t="shared" si="8"/>
        <v>277.66241587612149</v>
      </c>
    </row>
    <row r="52" spans="1:20" s="45" customFormat="1" ht="18" x14ac:dyDescent="0.2">
      <c r="A52" s="122" t="s">
        <v>640</v>
      </c>
      <c r="B52" s="121">
        <v>3450</v>
      </c>
      <c r="C52" s="120">
        <v>29127</v>
      </c>
      <c r="D52" s="119">
        <v>29127</v>
      </c>
      <c r="E52" s="118" t="s">
        <v>617</v>
      </c>
      <c r="F52" s="117" t="s">
        <v>616</v>
      </c>
      <c r="G52" s="115">
        <f t="shared" si="5"/>
        <v>19.11</v>
      </c>
      <c r="H52" s="115">
        <f t="shared" si="5"/>
        <v>19.11</v>
      </c>
      <c r="I52" s="115">
        <f t="shared" si="5"/>
        <v>19.11</v>
      </c>
      <c r="J52" s="115">
        <f t="shared" si="5"/>
        <v>19.11</v>
      </c>
      <c r="K52" s="116">
        <v>19.11</v>
      </c>
      <c r="L52" s="115">
        <f t="shared" si="6"/>
        <v>19.11</v>
      </c>
      <c r="M52" s="115">
        <f t="shared" si="6"/>
        <v>19.11</v>
      </c>
      <c r="N52" s="115">
        <f t="shared" si="6"/>
        <v>19.11</v>
      </c>
      <c r="O52" s="114">
        <f t="shared" si="7"/>
        <v>19.11</v>
      </c>
      <c r="P52" s="114">
        <v>19.5</v>
      </c>
      <c r="Q52" s="77"/>
      <c r="R52" s="77"/>
      <c r="S52" s="45">
        <v>19.8</v>
      </c>
      <c r="T52" s="90">
        <f t="shared" si="8"/>
        <v>212.39702249999999</v>
      </c>
    </row>
    <row r="53" spans="1:20" s="45" customFormat="1" ht="18" x14ac:dyDescent="0.2">
      <c r="A53" s="122" t="s">
        <v>639</v>
      </c>
      <c r="B53" s="121">
        <v>4764</v>
      </c>
      <c r="C53" s="120">
        <v>42238</v>
      </c>
      <c r="D53" s="119">
        <v>42239</v>
      </c>
      <c r="E53" s="118" t="s">
        <v>617</v>
      </c>
      <c r="F53" s="117" t="s">
        <v>616</v>
      </c>
      <c r="G53" s="115">
        <f t="shared" si="5"/>
        <v>18.72</v>
      </c>
      <c r="H53" s="115">
        <f t="shared" si="5"/>
        <v>18.72</v>
      </c>
      <c r="I53" s="115">
        <f t="shared" si="5"/>
        <v>18.72</v>
      </c>
      <c r="J53" s="115">
        <f t="shared" si="5"/>
        <v>18.72</v>
      </c>
      <c r="K53" s="116">
        <v>18.72</v>
      </c>
      <c r="L53" s="115">
        <f t="shared" si="6"/>
        <v>18.72</v>
      </c>
      <c r="M53" s="115">
        <f t="shared" si="6"/>
        <v>18.72</v>
      </c>
      <c r="N53" s="115">
        <f t="shared" si="6"/>
        <v>18.72</v>
      </c>
      <c r="O53" s="114">
        <f t="shared" si="7"/>
        <v>18.72</v>
      </c>
      <c r="P53" s="114">
        <v>19.600000000000001</v>
      </c>
      <c r="Q53" s="77"/>
      <c r="R53" s="77"/>
      <c r="S53" s="45">
        <v>18.7</v>
      </c>
      <c r="T53" s="90">
        <f t="shared" si="8"/>
        <v>98.392817595687333</v>
      </c>
    </row>
    <row r="54" spans="1:20" s="45" customFormat="1" ht="18" x14ac:dyDescent="0.2">
      <c r="A54" s="122" t="s">
        <v>638</v>
      </c>
      <c r="B54" s="121">
        <v>3510</v>
      </c>
      <c r="C54" s="120">
        <v>31199</v>
      </c>
      <c r="D54" s="119">
        <v>31199</v>
      </c>
      <c r="E54" s="118" t="s">
        <v>617</v>
      </c>
      <c r="F54" s="117" t="s">
        <v>616</v>
      </c>
      <c r="G54" s="115">
        <f t="shared" si="5"/>
        <v>20.46</v>
      </c>
      <c r="H54" s="115">
        <f t="shared" si="5"/>
        <v>20.46</v>
      </c>
      <c r="I54" s="115">
        <f t="shared" si="5"/>
        <v>20.46</v>
      </c>
      <c r="J54" s="115">
        <f t="shared" si="5"/>
        <v>20.46</v>
      </c>
      <c r="K54" s="116">
        <v>20.46</v>
      </c>
      <c r="L54" s="115">
        <f t="shared" si="6"/>
        <v>20.46</v>
      </c>
      <c r="M54" s="115">
        <f t="shared" si="6"/>
        <v>20.46</v>
      </c>
      <c r="N54" s="115">
        <f t="shared" si="6"/>
        <v>20.46</v>
      </c>
      <c r="O54" s="114">
        <f t="shared" si="7"/>
        <v>20.46</v>
      </c>
      <c r="P54" s="114">
        <v>20.582822113073075</v>
      </c>
      <c r="Q54" s="77"/>
      <c r="R54" s="77"/>
      <c r="S54" s="45">
        <v>20.399999999999999</v>
      </c>
      <c r="T54" s="90">
        <f t="shared" si="8"/>
        <v>191.69477418721826</v>
      </c>
    </row>
    <row r="55" spans="1:20" s="45" customFormat="1" x14ac:dyDescent="0.2">
      <c r="A55" s="122" t="s">
        <v>513</v>
      </c>
      <c r="B55" s="121"/>
      <c r="C55" s="120"/>
      <c r="D55" s="119"/>
      <c r="E55" s="118"/>
      <c r="F55" s="117"/>
      <c r="G55" s="115"/>
      <c r="H55" s="115"/>
      <c r="I55" s="115"/>
      <c r="J55" s="115"/>
      <c r="K55" s="116"/>
      <c r="L55" s="115"/>
      <c r="M55" s="115"/>
      <c r="N55" s="115"/>
      <c r="O55" s="114"/>
      <c r="P55" s="114">
        <v>17.5</v>
      </c>
      <c r="Q55" s="77"/>
      <c r="R55" s="77"/>
      <c r="T55" s="90"/>
    </row>
    <row r="56" spans="1:20" s="45" customFormat="1" x14ac:dyDescent="0.2">
      <c r="A56" s="122" t="s">
        <v>637</v>
      </c>
      <c r="B56" s="121">
        <v>1800</v>
      </c>
      <c r="C56" s="120">
        <v>30884</v>
      </c>
      <c r="D56" s="119">
        <v>30884</v>
      </c>
      <c r="E56" s="118" t="s">
        <v>636</v>
      </c>
      <c r="F56" s="117"/>
      <c r="G56" s="115" t="e">
        <f t="shared" ref="G56:J71" si="9">$K56</f>
        <v>#N/A</v>
      </c>
      <c r="H56" s="115" t="e">
        <f t="shared" si="9"/>
        <v>#N/A</v>
      </c>
      <c r="I56" s="115" t="e">
        <f t="shared" si="9"/>
        <v>#N/A</v>
      </c>
      <c r="J56" s="115" t="e">
        <f t="shared" si="9"/>
        <v>#N/A</v>
      </c>
      <c r="K56" s="116" t="e">
        <v>#N/A</v>
      </c>
      <c r="L56" s="115" t="e">
        <f t="shared" ref="L56:N71" si="10">$K56</f>
        <v>#N/A</v>
      </c>
      <c r="M56" s="115" t="e">
        <f t="shared" si="10"/>
        <v>#N/A</v>
      </c>
      <c r="N56" s="115" t="e">
        <f t="shared" si="10"/>
        <v>#N/A</v>
      </c>
      <c r="O56" s="114"/>
      <c r="P56" s="114"/>
      <c r="Q56" s="77"/>
      <c r="R56" s="77"/>
      <c r="T56" s="90"/>
    </row>
    <row r="57" spans="1:20" s="45" customFormat="1" x14ac:dyDescent="0.2">
      <c r="A57" s="127" t="s">
        <v>635</v>
      </c>
      <c r="B57" s="126">
        <v>171</v>
      </c>
      <c r="C57" s="125">
        <v>27893</v>
      </c>
      <c r="D57" s="124">
        <v>27893</v>
      </c>
      <c r="E57" s="123" t="s">
        <v>631</v>
      </c>
      <c r="F57" s="117"/>
      <c r="G57" s="115" t="e">
        <f t="shared" si="9"/>
        <v>#N/A</v>
      </c>
      <c r="H57" s="115" t="e">
        <f t="shared" si="9"/>
        <v>#N/A</v>
      </c>
      <c r="I57" s="115" t="e">
        <f t="shared" si="9"/>
        <v>#N/A</v>
      </c>
      <c r="J57" s="115" t="e">
        <f t="shared" si="9"/>
        <v>#N/A</v>
      </c>
      <c r="K57" s="116" t="e">
        <v>#N/A</v>
      </c>
      <c r="L57" s="115" t="e">
        <f t="shared" si="10"/>
        <v>#N/A</v>
      </c>
      <c r="M57" s="115" t="e">
        <f t="shared" si="10"/>
        <v>#N/A</v>
      </c>
      <c r="N57" s="115" t="e">
        <f t="shared" si="10"/>
        <v>#N/A</v>
      </c>
      <c r="O57" s="114"/>
      <c r="P57" s="114"/>
      <c r="Q57" s="77"/>
      <c r="R57" s="77"/>
      <c r="T57" s="90"/>
    </row>
    <row r="58" spans="1:20" s="45" customFormat="1" x14ac:dyDescent="0.2">
      <c r="A58" s="122" t="s">
        <v>634</v>
      </c>
      <c r="B58" s="121">
        <v>1327</v>
      </c>
      <c r="C58" s="120">
        <v>39356</v>
      </c>
      <c r="D58" s="119">
        <v>39356</v>
      </c>
      <c r="E58" s="118" t="s">
        <v>631</v>
      </c>
      <c r="F58" s="117"/>
      <c r="G58" s="115" t="e">
        <f t="shared" si="9"/>
        <v>#N/A</v>
      </c>
      <c r="H58" s="115" t="e">
        <f t="shared" si="9"/>
        <v>#N/A</v>
      </c>
      <c r="I58" s="115" t="e">
        <f t="shared" si="9"/>
        <v>#N/A</v>
      </c>
      <c r="J58" s="115" t="e">
        <f t="shared" si="9"/>
        <v>#N/A</v>
      </c>
      <c r="K58" s="116" t="e">
        <v>#N/A</v>
      </c>
      <c r="L58" s="115" t="e">
        <f t="shared" si="10"/>
        <v>#N/A</v>
      </c>
      <c r="M58" s="115" t="e">
        <f t="shared" si="10"/>
        <v>#N/A</v>
      </c>
      <c r="N58" s="115" t="e">
        <f t="shared" si="10"/>
        <v>#N/A</v>
      </c>
      <c r="O58" s="114"/>
      <c r="P58" s="114"/>
      <c r="Q58" s="77"/>
      <c r="R58" s="77"/>
      <c r="T58" s="90"/>
    </row>
    <row r="59" spans="1:20" s="45" customFormat="1" x14ac:dyDescent="0.2">
      <c r="A59" s="122" t="s">
        <v>633</v>
      </c>
      <c r="B59" s="121">
        <v>740</v>
      </c>
      <c r="C59" s="120">
        <v>39356</v>
      </c>
      <c r="D59" s="119">
        <v>39356</v>
      </c>
      <c r="E59" s="118" t="s">
        <v>631</v>
      </c>
      <c r="F59" s="117"/>
      <c r="G59" s="115" t="e">
        <f t="shared" si="9"/>
        <v>#N/A</v>
      </c>
      <c r="H59" s="115" t="e">
        <f t="shared" si="9"/>
        <v>#N/A</v>
      </c>
      <c r="I59" s="115" t="e">
        <f t="shared" si="9"/>
        <v>#N/A</v>
      </c>
      <c r="J59" s="115" t="e">
        <f t="shared" si="9"/>
        <v>#N/A</v>
      </c>
      <c r="K59" s="116" t="e">
        <v>#N/A</v>
      </c>
      <c r="L59" s="115" t="e">
        <f t="shared" si="10"/>
        <v>#N/A</v>
      </c>
      <c r="M59" s="115" t="e">
        <f t="shared" si="10"/>
        <v>#N/A</v>
      </c>
      <c r="N59" s="115" t="e">
        <f t="shared" si="10"/>
        <v>#N/A</v>
      </c>
      <c r="O59" s="114"/>
      <c r="P59" s="114"/>
      <c r="Q59" s="77"/>
      <c r="R59" s="77"/>
      <c r="T59" s="90"/>
    </row>
    <row r="60" spans="1:20" s="45" customFormat="1" x14ac:dyDescent="0.2">
      <c r="A60" s="127" t="s">
        <v>632</v>
      </c>
      <c r="B60" s="126">
        <v>171</v>
      </c>
      <c r="C60" s="125">
        <v>28033</v>
      </c>
      <c r="D60" s="124">
        <v>28033</v>
      </c>
      <c r="E60" s="123" t="s">
        <v>631</v>
      </c>
      <c r="F60" s="117"/>
      <c r="G60" s="115" t="e">
        <f t="shared" si="9"/>
        <v>#N/A</v>
      </c>
      <c r="H60" s="115" t="e">
        <f t="shared" si="9"/>
        <v>#N/A</v>
      </c>
      <c r="I60" s="115" t="e">
        <f t="shared" si="9"/>
        <v>#N/A</v>
      </c>
      <c r="J60" s="115" t="e">
        <f t="shared" si="9"/>
        <v>#N/A</v>
      </c>
      <c r="K60" s="116" t="e">
        <v>#N/A</v>
      </c>
      <c r="L60" s="115" t="e">
        <f t="shared" si="10"/>
        <v>#N/A</v>
      </c>
      <c r="M60" s="115" t="e">
        <f t="shared" si="10"/>
        <v>#N/A</v>
      </c>
      <c r="N60" s="115" t="e">
        <f t="shared" si="10"/>
        <v>#N/A</v>
      </c>
      <c r="O60" s="114"/>
      <c r="P60" s="114"/>
      <c r="Q60" s="77"/>
      <c r="R60" s="77"/>
      <c r="T60" s="90"/>
    </row>
    <row r="61" spans="1:20" s="45" customFormat="1" x14ac:dyDescent="0.2">
      <c r="A61" s="122" t="s">
        <v>630</v>
      </c>
      <c r="B61" s="121">
        <v>42</v>
      </c>
      <c r="C61" s="120">
        <v>31048</v>
      </c>
      <c r="D61" s="119">
        <v>31048</v>
      </c>
      <c r="E61" s="118" t="s">
        <v>624</v>
      </c>
      <c r="F61" s="117"/>
      <c r="G61" s="115" t="e">
        <f t="shared" si="9"/>
        <v>#N/A</v>
      </c>
      <c r="H61" s="115" t="e">
        <f t="shared" si="9"/>
        <v>#N/A</v>
      </c>
      <c r="I61" s="115" t="e">
        <f t="shared" si="9"/>
        <v>#N/A</v>
      </c>
      <c r="J61" s="115" t="e">
        <f t="shared" si="9"/>
        <v>#N/A</v>
      </c>
      <c r="K61" s="116" t="e">
        <v>#N/A</v>
      </c>
      <c r="L61" s="115" t="e">
        <f t="shared" si="10"/>
        <v>#N/A</v>
      </c>
      <c r="M61" s="115" t="e">
        <f t="shared" si="10"/>
        <v>#N/A</v>
      </c>
      <c r="N61" s="115" t="e">
        <f t="shared" si="10"/>
        <v>#N/A</v>
      </c>
      <c r="O61" s="114"/>
      <c r="P61" s="114"/>
      <c r="Q61" s="77"/>
      <c r="R61" s="77"/>
      <c r="T61" s="90"/>
    </row>
    <row r="62" spans="1:20" s="45" customFormat="1" x14ac:dyDescent="0.2">
      <c r="A62" s="122" t="s">
        <v>629</v>
      </c>
      <c r="B62" s="121">
        <v>6</v>
      </c>
      <c r="C62" s="120">
        <v>28887</v>
      </c>
      <c r="D62" s="119">
        <v>28887</v>
      </c>
      <c r="E62" s="118" t="s">
        <v>624</v>
      </c>
      <c r="F62" s="117"/>
      <c r="G62" s="115" t="e">
        <f t="shared" si="9"/>
        <v>#N/A</v>
      </c>
      <c r="H62" s="115" t="e">
        <f t="shared" si="9"/>
        <v>#N/A</v>
      </c>
      <c r="I62" s="115" t="e">
        <f t="shared" si="9"/>
        <v>#N/A</v>
      </c>
      <c r="J62" s="115" t="e">
        <f t="shared" si="9"/>
        <v>#N/A</v>
      </c>
      <c r="K62" s="116" t="e">
        <v>#N/A</v>
      </c>
      <c r="L62" s="115" t="e">
        <f t="shared" si="10"/>
        <v>#N/A</v>
      </c>
      <c r="M62" s="115" t="e">
        <f t="shared" si="10"/>
        <v>#N/A</v>
      </c>
      <c r="N62" s="115" t="e">
        <f t="shared" si="10"/>
        <v>#N/A</v>
      </c>
      <c r="O62" s="114"/>
      <c r="P62" s="114"/>
      <c r="Q62" s="77"/>
      <c r="R62" s="77"/>
      <c r="T62" s="90"/>
    </row>
    <row r="63" spans="1:20" s="45" customFormat="1" x14ac:dyDescent="0.2">
      <c r="A63" s="122" t="s">
        <v>628</v>
      </c>
      <c r="B63" s="121">
        <v>360</v>
      </c>
      <c r="C63" s="120">
        <v>26184</v>
      </c>
      <c r="D63" s="119">
        <v>26184</v>
      </c>
      <c r="E63" s="118" t="s">
        <v>624</v>
      </c>
      <c r="F63" s="117"/>
      <c r="G63" s="115" t="e">
        <f t="shared" si="9"/>
        <v>#N/A</v>
      </c>
      <c r="H63" s="115" t="e">
        <f t="shared" si="9"/>
        <v>#N/A</v>
      </c>
      <c r="I63" s="115" t="e">
        <f t="shared" si="9"/>
        <v>#N/A</v>
      </c>
      <c r="J63" s="115" t="e">
        <f t="shared" si="9"/>
        <v>#N/A</v>
      </c>
      <c r="K63" s="116" t="e">
        <v>#N/A</v>
      </c>
      <c r="L63" s="115" t="e">
        <f t="shared" si="10"/>
        <v>#N/A</v>
      </c>
      <c r="M63" s="115" t="e">
        <f t="shared" si="10"/>
        <v>#N/A</v>
      </c>
      <c r="N63" s="115" t="e">
        <f t="shared" si="10"/>
        <v>#N/A</v>
      </c>
      <c r="O63" s="114"/>
      <c r="P63" s="114"/>
      <c r="Q63" s="77"/>
      <c r="R63" s="77"/>
      <c r="T63" s="90"/>
    </row>
    <row r="64" spans="1:20" s="45" customFormat="1" x14ac:dyDescent="0.2">
      <c r="A64" s="122" t="s">
        <v>627</v>
      </c>
      <c r="B64" s="121">
        <v>2</v>
      </c>
      <c r="C64" s="120">
        <v>30376</v>
      </c>
      <c r="D64" s="119">
        <v>30376</v>
      </c>
      <c r="E64" s="118" t="s">
        <v>624</v>
      </c>
      <c r="F64" s="117"/>
      <c r="G64" s="115" t="e">
        <f t="shared" si="9"/>
        <v>#N/A</v>
      </c>
      <c r="H64" s="115" t="e">
        <f t="shared" si="9"/>
        <v>#N/A</v>
      </c>
      <c r="I64" s="115" t="e">
        <f t="shared" si="9"/>
        <v>#N/A</v>
      </c>
      <c r="J64" s="115" t="e">
        <f t="shared" si="9"/>
        <v>#N/A</v>
      </c>
      <c r="K64" s="116" t="e">
        <v>#N/A</v>
      </c>
      <c r="L64" s="115" t="e">
        <f t="shared" si="10"/>
        <v>#N/A</v>
      </c>
      <c r="M64" s="115" t="e">
        <f t="shared" si="10"/>
        <v>#N/A</v>
      </c>
      <c r="N64" s="115" t="e">
        <f t="shared" si="10"/>
        <v>#N/A</v>
      </c>
      <c r="O64" s="114"/>
      <c r="P64" s="114"/>
      <c r="Q64" s="77"/>
      <c r="R64" s="77"/>
      <c r="T64" s="90"/>
    </row>
    <row r="65" spans="1:20" s="45" customFormat="1" x14ac:dyDescent="0.2">
      <c r="A65" s="122" t="s">
        <v>626</v>
      </c>
      <c r="B65" s="121">
        <v>11</v>
      </c>
      <c r="C65" s="120">
        <v>28946</v>
      </c>
      <c r="D65" s="119">
        <v>28946</v>
      </c>
      <c r="E65" s="118" t="s">
        <v>624</v>
      </c>
      <c r="F65" s="117"/>
      <c r="G65" s="115" t="e">
        <f t="shared" si="9"/>
        <v>#N/A</v>
      </c>
      <c r="H65" s="115" t="e">
        <f t="shared" si="9"/>
        <v>#N/A</v>
      </c>
      <c r="I65" s="115" t="e">
        <f t="shared" si="9"/>
        <v>#N/A</v>
      </c>
      <c r="J65" s="115" t="e">
        <f t="shared" si="9"/>
        <v>#N/A</v>
      </c>
      <c r="K65" s="116" t="e">
        <v>#N/A</v>
      </c>
      <c r="L65" s="115" t="e">
        <f t="shared" si="10"/>
        <v>#N/A</v>
      </c>
      <c r="M65" s="115" t="e">
        <f t="shared" si="10"/>
        <v>#N/A</v>
      </c>
      <c r="N65" s="115" t="e">
        <f t="shared" si="10"/>
        <v>#N/A</v>
      </c>
      <c r="O65" s="114"/>
      <c r="P65" s="114"/>
      <c r="Q65" s="77"/>
      <c r="R65" s="77"/>
      <c r="T65" s="90"/>
    </row>
    <row r="66" spans="1:20" s="45" customFormat="1" x14ac:dyDescent="0.2">
      <c r="A66" s="122" t="s">
        <v>625</v>
      </c>
      <c r="B66" s="121">
        <v>240</v>
      </c>
      <c r="C66" s="120">
        <v>28126</v>
      </c>
      <c r="D66" s="119">
        <v>28126</v>
      </c>
      <c r="E66" s="118" t="s">
        <v>624</v>
      </c>
      <c r="F66" s="117"/>
      <c r="G66" s="115" t="e">
        <f t="shared" si="9"/>
        <v>#N/A</v>
      </c>
      <c r="H66" s="115" t="e">
        <f t="shared" si="9"/>
        <v>#N/A</v>
      </c>
      <c r="I66" s="115" t="e">
        <f t="shared" si="9"/>
        <v>#N/A</v>
      </c>
      <c r="J66" s="115" t="e">
        <f t="shared" si="9"/>
        <v>#N/A</v>
      </c>
      <c r="K66" s="116" t="e">
        <v>#N/A</v>
      </c>
      <c r="L66" s="115" t="e">
        <f t="shared" si="10"/>
        <v>#N/A</v>
      </c>
      <c r="M66" s="115" t="e">
        <f t="shared" si="10"/>
        <v>#N/A</v>
      </c>
      <c r="N66" s="115" t="e">
        <f t="shared" si="10"/>
        <v>#N/A</v>
      </c>
      <c r="O66" s="114"/>
      <c r="P66" s="114"/>
      <c r="Q66" s="77"/>
      <c r="R66" s="77"/>
      <c r="T66" s="90"/>
    </row>
    <row r="67" spans="1:20" s="45" customFormat="1" x14ac:dyDescent="0.2">
      <c r="A67" s="122" t="s">
        <v>623</v>
      </c>
      <c r="B67" s="121">
        <v>1000</v>
      </c>
      <c r="C67" s="120">
        <v>29754</v>
      </c>
      <c r="D67" s="119">
        <v>29754</v>
      </c>
      <c r="E67" s="118" t="s">
        <v>621</v>
      </c>
      <c r="F67" s="117"/>
      <c r="G67" s="115" t="e">
        <f t="shared" si="9"/>
        <v>#N/A</v>
      </c>
      <c r="H67" s="115" t="e">
        <f t="shared" si="9"/>
        <v>#N/A</v>
      </c>
      <c r="I67" s="115" t="e">
        <f t="shared" si="9"/>
        <v>#N/A</v>
      </c>
      <c r="J67" s="115" t="e">
        <f t="shared" si="9"/>
        <v>#N/A</v>
      </c>
      <c r="K67" s="116" t="e">
        <v>#N/A</v>
      </c>
      <c r="L67" s="115" t="e">
        <f t="shared" si="10"/>
        <v>#N/A</v>
      </c>
      <c r="M67" s="115" t="e">
        <f t="shared" si="10"/>
        <v>#N/A</v>
      </c>
      <c r="N67" s="115" t="e">
        <f t="shared" si="10"/>
        <v>#N/A</v>
      </c>
      <c r="O67" s="114"/>
      <c r="P67" s="114"/>
      <c r="Q67" s="77"/>
      <c r="R67" s="77"/>
      <c r="T67" s="90"/>
    </row>
    <row r="68" spans="1:20" s="45" customFormat="1" x14ac:dyDescent="0.2">
      <c r="A68" s="122" t="s">
        <v>622</v>
      </c>
      <c r="B68" s="121">
        <v>400</v>
      </c>
      <c r="C68" s="120">
        <v>32251</v>
      </c>
      <c r="D68" s="119">
        <v>32251</v>
      </c>
      <c r="E68" s="118" t="s">
        <v>621</v>
      </c>
      <c r="F68" s="117"/>
      <c r="G68" s="115" t="e">
        <f t="shared" si="9"/>
        <v>#N/A</v>
      </c>
      <c r="H68" s="115" t="e">
        <f t="shared" si="9"/>
        <v>#N/A</v>
      </c>
      <c r="I68" s="115" t="e">
        <f t="shared" si="9"/>
        <v>#N/A</v>
      </c>
      <c r="J68" s="115" t="e">
        <f t="shared" si="9"/>
        <v>#N/A</v>
      </c>
      <c r="K68" s="116" t="e">
        <v>#N/A</v>
      </c>
      <c r="L68" s="115" t="e">
        <f t="shared" si="10"/>
        <v>#N/A</v>
      </c>
      <c r="M68" s="115" t="e">
        <f t="shared" si="10"/>
        <v>#N/A</v>
      </c>
      <c r="N68" s="115" t="e">
        <f t="shared" si="10"/>
        <v>#N/A</v>
      </c>
      <c r="O68" s="114"/>
      <c r="P68" s="114"/>
      <c r="Q68" s="77"/>
      <c r="R68" s="77"/>
      <c r="T68" s="90"/>
    </row>
    <row r="69" spans="1:20" s="45" customFormat="1" ht="18" x14ac:dyDescent="0.2">
      <c r="A69" s="122" t="s">
        <v>620</v>
      </c>
      <c r="B69" s="121">
        <v>1600</v>
      </c>
      <c r="C69" s="120">
        <v>24462</v>
      </c>
      <c r="D69" s="119">
        <v>38504</v>
      </c>
      <c r="E69" s="118" t="s">
        <v>617</v>
      </c>
      <c r="F69" s="117" t="s">
        <v>616</v>
      </c>
      <c r="G69" s="115">
        <f t="shared" si="9"/>
        <v>20</v>
      </c>
      <c r="H69" s="115">
        <f t="shared" si="9"/>
        <v>20</v>
      </c>
      <c r="I69" s="115">
        <f t="shared" si="9"/>
        <v>20</v>
      </c>
      <c r="J69" s="115">
        <f t="shared" si="9"/>
        <v>20</v>
      </c>
      <c r="K69" s="116">
        <v>20</v>
      </c>
      <c r="L69" s="115">
        <f t="shared" si="10"/>
        <v>20</v>
      </c>
      <c r="M69" s="115">
        <f t="shared" si="10"/>
        <v>20</v>
      </c>
      <c r="N69" s="115">
        <f t="shared" si="10"/>
        <v>20</v>
      </c>
      <c r="O69" s="114">
        <f>S69*$O$42+K69*(1-$O$42)</f>
        <v>20</v>
      </c>
      <c r="P69" s="114">
        <v>21.794162263230632</v>
      </c>
      <c r="Q69" s="77"/>
      <c r="R69" s="77"/>
      <c r="S69" s="45">
        <v>18.7</v>
      </c>
      <c r="T69" s="90">
        <f>P30*P69/1000000</f>
        <v>90.151562260827106</v>
      </c>
    </row>
    <row r="70" spans="1:20" s="45" customFormat="1" ht="18" x14ac:dyDescent="0.2">
      <c r="A70" s="122" t="s">
        <v>619</v>
      </c>
      <c r="B70" s="121">
        <v>1200</v>
      </c>
      <c r="C70" s="120">
        <v>25384</v>
      </c>
      <c r="D70" s="119">
        <v>25384</v>
      </c>
      <c r="E70" s="118" t="s">
        <v>617</v>
      </c>
      <c r="F70" s="117" t="s">
        <v>616</v>
      </c>
      <c r="G70" s="115">
        <f t="shared" si="9"/>
        <v>20</v>
      </c>
      <c r="H70" s="115">
        <f t="shared" si="9"/>
        <v>20</v>
      </c>
      <c r="I70" s="115">
        <f t="shared" si="9"/>
        <v>20</v>
      </c>
      <c r="J70" s="115">
        <f t="shared" si="9"/>
        <v>20</v>
      </c>
      <c r="K70" s="116">
        <v>20</v>
      </c>
      <c r="L70" s="115">
        <f t="shared" si="10"/>
        <v>20</v>
      </c>
      <c r="M70" s="115">
        <f t="shared" si="10"/>
        <v>20</v>
      </c>
      <c r="N70" s="115">
        <f t="shared" si="10"/>
        <v>20</v>
      </c>
      <c r="O70" s="114">
        <f>S70*$O$42+K70*(1-$O$42)</f>
        <v>20</v>
      </c>
      <c r="P70" s="114">
        <v>20.443307240704499</v>
      </c>
      <c r="Q70" s="77"/>
      <c r="R70" s="77"/>
      <c r="S70" s="45">
        <v>20</v>
      </c>
      <c r="T70" s="90">
        <f>P31*P70/1000000</f>
        <v>50.03612907517612</v>
      </c>
    </row>
    <row r="71" spans="1:20" s="45" customFormat="1" ht="18" x14ac:dyDescent="0.2">
      <c r="A71" s="122" t="s">
        <v>618</v>
      </c>
      <c r="B71" s="121">
        <v>1000</v>
      </c>
      <c r="C71" s="120">
        <v>22591</v>
      </c>
      <c r="D71" s="119">
        <v>22591</v>
      </c>
      <c r="E71" s="118" t="s">
        <v>617</v>
      </c>
      <c r="F71" s="117" t="s">
        <v>616</v>
      </c>
      <c r="G71" s="115">
        <f t="shared" si="9"/>
        <v>21</v>
      </c>
      <c r="H71" s="115">
        <f t="shared" si="9"/>
        <v>21</v>
      </c>
      <c r="I71" s="115">
        <f t="shared" si="9"/>
        <v>21</v>
      </c>
      <c r="J71" s="115">
        <f t="shared" si="9"/>
        <v>21</v>
      </c>
      <c r="K71" s="116">
        <v>21</v>
      </c>
      <c r="L71" s="115">
        <f t="shared" si="10"/>
        <v>21</v>
      </c>
      <c r="M71" s="115">
        <f t="shared" si="10"/>
        <v>21</v>
      </c>
      <c r="N71" s="115">
        <f t="shared" si="10"/>
        <v>21</v>
      </c>
      <c r="O71" s="114">
        <f>S71*$O$42+K71*(1-$O$42)</f>
        <v>21</v>
      </c>
      <c r="P71" s="114">
        <v>22.319764762361977</v>
      </c>
      <c r="Q71" s="77"/>
      <c r="R71" s="77"/>
      <c r="S71" s="45">
        <v>19.7</v>
      </c>
      <c r="T71" s="90">
        <f>P32*P71/1000000</f>
        <v>39.983408977588809</v>
      </c>
    </row>
    <row r="72" spans="1:20" s="45" customFormat="1" x14ac:dyDescent="0.2">
      <c r="O72" s="45">
        <f>SUMPRODUCT(O44:O71,$T44:$T71)/SUM($T44:$T71)</f>
        <v>19.81131426121831</v>
      </c>
      <c r="P72" s="45">
        <f>SUMPRODUCT(P44:P71,$P5:$P32)/SUM($P5:$P32)</f>
        <v>19.725058351121582</v>
      </c>
      <c r="Q72" s="77"/>
      <c r="R72" s="77"/>
      <c r="S72" s="45">
        <f>SUMPRODUCT(S44:S71,$T44:$T71)/SUM($T44:$T71)</f>
        <v>19.133004273125085</v>
      </c>
      <c r="T72" s="90">
        <f>SUM(T44:T71)</f>
        <v>2242.5625971607183</v>
      </c>
    </row>
    <row r="73" spans="1:20" s="45" customFormat="1" x14ac:dyDescent="0.2"/>
    <row r="74" spans="1:20" s="45" customFormat="1" x14ac:dyDescent="0.2">
      <c r="O74" s="45" t="s">
        <v>615</v>
      </c>
      <c r="Q74" s="45">
        <v>19.87</v>
      </c>
      <c r="S74" s="77"/>
    </row>
    <row r="75" spans="1:20" s="45" customFormat="1" x14ac:dyDescent="0.2"/>
    <row r="76" spans="1:20" s="45" customFormat="1" x14ac:dyDescent="0.2"/>
  </sheetData>
  <hyperlinks>
    <hyperlink ref="A1" r:id="rId1" xr:uid="{20849CFA-84EB-4915-A07C-1728475DB637}"/>
  </hyperlinks>
  <pageMargins left="0.7" right="0.7" top="0.75" bottom="0.75" header="0.3" footer="0.3"/>
  <pageSetup paperSize="9" orientation="portrait"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89FAF-DB70-407E-B6B1-C96B4B64FDB8}">
  <sheetPr codeName="Sheet1"/>
  <dimension ref="A1:X73"/>
  <sheetViews>
    <sheetView topLeftCell="A9" workbookViewId="0">
      <selection activeCell="H20" sqref="H20"/>
    </sheetView>
  </sheetViews>
  <sheetFormatPr defaultColWidth="9.140625" defaultRowHeight="12.75" x14ac:dyDescent="0.2"/>
  <cols>
    <col min="1" max="1" width="9.140625" style="45"/>
    <col min="2" max="9" width="12.85546875" style="45" customWidth="1"/>
    <col min="10" max="10" width="12.85546875" style="45" bestFit="1" customWidth="1"/>
    <col min="11" max="11" width="15" style="45" bestFit="1" customWidth="1"/>
    <col min="12" max="13" width="12.28515625" style="45" bestFit="1" customWidth="1"/>
    <col min="14" max="17" width="9.140625" style="45"/>
    <col min="18" max="18" width="10.42578125" style="45" customWidth="1"/>
    <col min="19" max="19" width="12.28515625" style="45" bestFit="1" customWidth="1"/>
    <col min="20" max="23" width="9.140625" style="45"/>
    <col min="24" max="24" width="10.28515625" style="45" bestFit="1" customWidth="1"/>
    <col min="25" max="16384" width="9.140625" style="45"/>
  </cols>
  <sheetData>
    <row r="1" spans="1:17" x14ac:dyDescent="0.2">
      <c r="B1" s="45" t="s">
        <v>1827</v>
      </c>
    </row>
    <row r="2" spans="1:17" x14ac:dyDescent="0.2">
      <c r="B2" s="45" t="s">
        <v>708</v>
      </c>
      <c r="C2" s="45" t="s">
        <v>707</v>
      </c>
      <c r="D2" s="45" t="s">
        <v>706</v>
      </c>
      <c r="E2" s="45" t="s">
        <v>705</v>
      </c>
      <c r="F2" s="45" t="s">
        <v>704</v>
      </c>
      <c r="G2" s="45" t="s">
        <v>703</v>
      </c>
      <c r="H2" s="45" t="s">
        <v>702</v>
      </c>
      <c r="I2" s="45" t="s">
        <v>701</v>
      </c>
      <c r="J2" s="45" t="s">
        <v>700</v>
      </c>
      <c r="K2" s="45" t="s">
        <v>699</v>
      </c>
      <c r="L2" s="45" t="s">
        <v>698</v>
      </c>
      <c r="M2" s="45" t="s">
        <v>697</v>
      </c>
      <c r="Q2" s="45" t="s">
        <v>2052</v>
      </c>
    </row>
    <row r="3" spans="1:17" x14ac:dyDescent="0.2">
      <c r="F3" s="154">
        <f t="shared" ref="F3:K3" si="0">AVERAGE(F4:F6)</f>
        <v>9578820.4666666668</v>
      </c>
      <c r="G3" s="154">
        <f t="shared" si="0"/>
        <v>820070.5</v>
      </c>
      <c r="H3" s="154">
        <f t="shared" si="0"/>
        <v>1020602.1416756486</v>
      </c>
      <c r="I3" s="154">
        <f t="shared" si="0"/>
        <v>13073492.666666666</v>
      </c>
      <c r="J3" s="154">
        <f t="shared" si="0"/>
        <v>-1579256.3333333333</v>
      </c>
      <c r="K3" s="154">
        <f t="shared" si="0"/>
        <v>94041.234788333371</v>
      </c>
    </row>
    <row r="4" spans="1:17" x14ac:dyDescent="0.2">
      <c r="A4" s="45">
        <v>2017</v>
      </c>
      <c r="B4" s="155">
        <v>201598387.99999949</v>
      </c>
      <c r="C4" s="155">
        <v>3324904.9807239999</v>
      </c>
      <c r="D4" s="155">
        <v>5077716.139824017</v>
      </c>
      <c r="E4" s="155">
        <v>686895.31813699903</v>
      </c>
      <c r="F4" s="155">
        <v>9064887</v>
      </c>
      <c r="G4" s="155">
        <v>699147.5</v>
      </c>
      <c r="H4" s="155">
        <v>88308.198543000297</v>
      </c>
      <c r="I4" s="155">
        <v>15088180</v>
      </c>
      <c r="J4" s="155">
        <v>-1659269</v>
      </c>
      <c r="K4" s="155">
        <v>94537.057675000149</v>
      </c>
      <c r="L4" s="155">
        <f>SUM(B4:K4)</f>
        <v>234063695.19490251</v>
      </c>
      <c r="M4" s="154">
        <f>L4-F4</f>
        <v>224998808.19490251</v>
      </c>
    </row>
    <row r="5" spans="1:17" x14ac:dyDescent="0.2">
      <c r="A5" s="45">
        <v>2018</v>
      </c>
      <c r="B5" s="155">
        <v>203358646.99000072</v>
      </c>
      <c r="C5" s="155">
        <v>3282183.112474001</v>
      </c>
      <c r="D5" s="155">
        <v>6467139.4822820127</v>
      </c>
      <c r="E5" s="155">
        <v>1031296.8576999987</v>
      </c>
      <c r="F5" s="155">
        <v>9871124</v>
      </c>
      <c r="G5" s="155">
        <v>1080965</v>
      </c>
      <c r="H5" s="155">
        <v>858503.3981310036</v>
      </c>
      <c r="I5" s="155">
        <v>10546432</v>
      </c>
      <c r="J5" s="155">
        <v>-1520780</v>
      </c>
      <c r="K5" s="155">
        <v>107410.26118200006</v>
      </c>
      <c r="L5" s="155">
        <f>SUM(B5:K5)</f>
        <v>235082921.10176975</v>
      </c>
      <c r="M5" s="154">
        <f>L5-F5</f>
        <v>225211797.10176975</v>
      </c>
    </row>
    <row r="6" spans="1:17" x14ac:dyDescent="0.2">
      <c r="A6" s="45">
        <v>2019</v>
      </c>
      <c r="B6" s="155">
        <v>194844723.5700002</v>
      </c>
      <c r="C6" s="155">
        <v>3325049.1242890083</v>
      </c>
      <c r="D6" s="155">
        <v>6624686.3538939897</v>
      </c>
      <c r="E6" s="155">
        <v>1557161.2435980064</v>
      </c>
      <c r="F6" s="155">
        <v>9800450.4000000004</v>
      </c>
      <c r="G6" s="155">
        <v>680099</v>
      </c>
      <c r="H6" s="155">
        <v>2114994.8283529417</v>
      </c>
      <c r="I6" s="155">
        <v>13585866</v>
      </c>
      <c r="J6" s="155">
        <v>-1557720</v>
      </c>
      <c r="K6" s="155">
        <v>80176.38550799989</v>
      </c>
      <c r="L6" s="155">
        <f>SUM(B6:K6)</f>
        <v>231055486.90564215</v>
      </c>
      <c r="M6" s="154">
        <f>L6-F6</f>
        <v>221255036.50564215</v>
      </c>
    </row>
    <row r="8" spans="1:17" x14ac:dyDescent="0.2">
      <c r="B8" s="346">
        <f>B5/B4-1</f>
        <v>8.7315132202407941E-3</v>
      </c>
      <c r="L8" s="346">
        <f>L5/L4-1</f>
        <v>4.3544809715942989E-3</v>
      </c>
    </row>
    <row r="10" spans="1:17" x14ac:dyDescent="0.2">
      <c r="B10" s="45" t="s">
        <v>1826</v>
      </c>
    </row>
    <row r="11" spans="1:17" x14ac:dyDescent="0.2">
      <c r="B11" s="45">
        <v>202.38</v>
      </c>
      <c r="C11" s="45">
        <v>4.04</v>
      </c>
      <c r="D11" s="45">
        <v>6.59</v>
      </c>
      <c r="E11" s="45">
        <v>1.23</v>
      </c>
      <c r="F11" s="45">
        <v>9.06</v>
      </c>
      <c r="G11" s="45">
        <v>0.7</v>
      </c>
      <c r="H11" s="45">
        <v>0.09</v>
      </c>
      <c r="I11" s="45">
        <v>15.09</v>
      </c>
      <c r="J11" s="45">
        <v>-1.67</v>
      </c>
      <c r="L11" s="45">
        <v>233.91</v>
      </c>
    </row>
    <row r="12" spans="1:17" x14ac:dyDescent="0.2">
      <c r="B12" s="45">
        <v>204.02</v>
      </c>
      <c r="C12" s="45">
        <v>4.3899999999999997</v>
      </c>
      <c r="D12" s="45">
        <v>6.59</v>
      </c>
      <c r="E12" s="45">
        <v>1.64</v>
      </c>
      <c r="F12" s="45">
        <v>9.06</v>
      </c>
      <c r="G12" s="45">
        <v>0.7</v>
      </c>
      <c r="H12" s="45">
        <v>0.63</v>
      </c>
      <c r="I12" s="45">
        <v>10.55</v>
      </c>
      <c r="J12" s="45">
        <v>-1.3099999999999996</v>
      </c>
      <c r="L12" s="45">
        <v>229.6</v>
      </c>
    </row>
    <row r="13" spans="1:17" x14ac:dyDescent="0.2">
      <c r="B13" s="45">
        <v>199.37</v>
      </c>
      <c r="C13" s="45">
        <v>4.91</v>
      </c>
      <c r="D13" s="45">
        <v>6.59</v>
      </c>
      <c r="E13" s="45">
        <v>2.0499999999999998</v>
      </c>
      <c r="F13" s="45">
        <v>9.06</v>
      </c>
      <c r="G13" s="45">
        <v>0.7</v>
      </c>
      <c r="H13" s="45">
        <v>1.52</v>
      </c>
      <c r="I13" s="45">
        <v>13.59</v>
      </c>
      <c r="J13" s="45">
        <v>-1.3199999999999994</v>
      </c>
      <c r="L13" s="45">
        <v>229.46</v>
      </c>
    </row>
    <row r="19" spans="7:20" x14ac:dyDescent="0.2">
      <c r="H19" s="45">
        <f>ProcDataGenPre2012!AT26</f>
        <v>2.4</v>
      </c>
    </row>
    <row r="20" spans="7:20" x14ac:dyDescent="0.2">
      <c r="H20" s="45">
        <f>ProcDataGen2012On!AX14+ProcDataGen2012On!AY14</f>
        <v>1.0050000000000001</v>
      </c>
    </row>
    <row r="21" spans="7:20" x14ac:dyDescent="0.2">
      <c r="G21" s="45" t="s">
        <v>717</v>
      </c>
      <c r="H21" s="45">
        <f>H20+H19</f>
        <v>3.4050000000000002</v>
      </c>
    </row>
    <row r="22" spans="7:20" x14ac:dyDescent="0.2">
      <c r="G22" s="45">
        <v>2017</v>
      </c>
      <c r="H22" s="347">
        <f>H4/1000/(H$21*8760)</f>
        <v>2.9606004647677766E-3</v>
      </c>
    </row>
    <row r="23" spans="7:20" x14ac:dyDescent="0.2">
      <c r="G23" s="45">
        <v>2018</v>
      </c>
      <c r="H23" s="347">
        <f>H5/1000/(H$21*8760)</f>
        <v>2.8781988551988529E-2</v>
      </c>
    </row>
    <row r="24" spans="7:20" x14ac:dyDescent="0.2">
      <c r="G24" s="45">
        <v>2019</v>
      </c>
      <c r="H24" s="347">
        <f>H6/1000/(H$21*8760)</f>
        <v>7.090683283222167E-2</v>
      </c>
    </row>
    <row r="25" spans="7:20" x14ac:dyDescent="0.2">
      <c r="R25" s="77" t="s">
        <v>2054</v>
      </c>
      <c r="T25" s="45" t="s">
        <v>2055</v>
      </c>
    </row>
    <row r="26" spans="7:20" x14ac:dyDescent="0.2">
      <c r="Q26" s="81" t="s">
        <v>593</v>
      </c>
      <c r="R26" s="100">
        <v>9929077</v>
      </c>
      <c r="S26" s="80">
        <v>0.31</v>
      </c>
      <c r="T26" s="329">
        <f>R26*3.6/S26/1000000</f>
        <v>115.30541032258066</v>
      </c>
    </row>
    <row r="27" spans="7:20" x14ac:dyDescent="0.2">
      <c r="Q27" s="81" t="s">
        <v>591</v>
      </c>
      <c r="R27" s="100">
        <v>11120844</v>
      </c>
      <c r="S27" s="80">
        <v>0.33058235797930735</v>
      </c>
      <c r="T27" s="329">
        <f t="shared" ref="T27:T53" si="1">R27*3.6/S27/1000000</f>
        <v>121.10458236402916</v>
      </c>
    </row>
    <row r="28" spans="7:20" x14ac:dyDescent="0.2">
      <c r="Q28" s="81" t="s">
        <v>589</v>
      </c>
      <c r="R28" s="100">
        <v>7355513</v>
      </c>
      <c r="S28" s="80">
        <v>0.26887733443497819</v>
      </c>
      <c r="T28" s="329">
        <f t="shared" si="1"/>
        <v>98.48300101473798</v>
      </c>
    </row>
    <row r="29" spans="7:20" x14ac:dyDescent="0.2">
      <c r="Q29" s="81" t="s">
        <v>587</v>
      </c>
      <c r="R29" s="100">
        <v>21049970</v>
      </c>
      <c r="S29" s="80">
        <v>0.32453714221152569</v>
      </c>
      <c r="T29" s="329">
        <f t="shared" si="1"/>
        <v>233.50144603975235</v>
      </c>
    </row>
    <row r="30" spans="7:20" x14ac:dyDescent="0.2">
      <c r="Q30" s="81" t="s">
        <v>585</v>
      </c>
      <c r="R30" s="100">
        <v>13067561</v>
      </c>
      <c r="S30" s="80">
        <v>0.31292646716362432</v>
      </c>
      <c r="T30" s="329">
        <f t="shared" si="1"/>
        <v>150.33314384175065</v>
      </c>
    </row>
    <row r="31" spans="7:20" x14ac:dyDescent="0.2">
      <c r="Q31" s="81" t="s">
        <v>583</v>
      </c>
      <c r="R31" s="100">
        <v>21565771</v>
      </c>
      <c r="S31" s="80">
        <v>0.34</v>
      </c>
      <c r="T31" s="329">
        <f t="shared" si="1"/>
        <v>228.34345764705884</v>
      </c>
    </row>
    <row r="32" spans="7:20" x14ac:dyDescent="0.2">
      <c r="Q32" s="81" t="s">
        <v>581</v>
      </c>
      <c r="R32" s="100">
        <v>26677698</v>
      </c>
      <c r="S32" s="80">
        <v>0.34000258749678802</v>
      </c>
      <c r="T32" s="329">
        <f t="shared" si="1"/>
        <v>282.46759387061212</v>
      </c>
    </row>
    <row r="33" spans="17:20" x14ac:dyDescent="0.2">
      <c r="Q33" s="81" t="s">
        <v>579</v>
      </c>
      <c r="R33" s="100">
        <v>24154240</v>
      </c>
      <c r="S33" s="80">
        <v>0.30514217321295861</v>
      </c>
      <c r="T33" s="329">
        <f t="shared" si="1"/>
        <v>284.96639151650123</v>
      </c>
    </row>
    <row r="34" spans="17:20" x14ac:dyDescent="0.2">
      <c r="Q34" s="81" t="s">
        <v>577</v>
      </c>
      <c r="R34" s="100">
        <v>18938849</v>
      </c>
      <c r="S34" s="80">
        <v>0.33160382650844367</v>
      </c>
      <c r="T34" s="329">
        <f t="shared" si="1"/>
        <v>205.60636201905811</v>
      </c>
    </row>
    <row r="35" spans="17:20" x14ac:dyDescent="0.2">
      <c r="Q35" s="81" t="s">
        <v>575</v>
      </c>
      <c r="R35" s="100">
        <v>15518851</v>
      </c>
      <c r="S35" s="80">
        <v>0.37099999999999994</v>
      </c>
      <c r="T35" s="329">
        <f t="shared" si="1"/>
        <v>150.58723342318061</v>
      </c>
    </row>
    <row r="36" spans="17:20" x14ac:dyDescent="0.2">
      <c r="Q36" s="81" t="s">
        <v>573</v>
      </c>
      <c r="R36" s="100">
        <v>15169501</v>
      </c>
      <c r="S36" s="80">
        <v>0.31090796372879914</v>
      </c>
      <c r="T36" s="329">
        <f t="shared" si="1"/>
        <v>175.64749048253955</v>
      </c>
    </row>
    <row r="37" spans="17:20" x14ac:dyDescent="0.2">
      <c r="Q37" s="81" t="s">
        <v>513</v>
      </c>
      <c r="R37" s="100">
        <v>3921196</v>
      </c>
      <c r="S37" s="80">
        <v>0.37100000000000005</v>
      </c>
      <c r="T37" s="329">
        <f t="shared" si="1"/>
        <v>38.049341239892179</v>
      </c>
    </row>
    <row r="38" spans="17:20" x14ac:dyDescent="0.2">
      <c r="Q38" s="81" t="s">
        <v>571</v>
      </c>
      <c r="R38" s="100">
        <v>11580000</v>
      </c>
      <c r="S38" s="80"/>
      <c r="T38" s="329"/>
    </row>
    <row r="39" spans="17:20" x14ac:dyDescent="0.2">
      <c r="Q39" s="81" t="s">
        <v>569</v>
      </c>
      <c r="R39" s="100">
        <v>1712</v>
      </c>
      <c r="S39" s="80">
        <f>ProcDataGenPre2012!G26</f>
        <v>0.32271024591215164</v>
      </c>
      <c r="T39" s="329">
        <f t="shared" si="1"/>
        <v>1.9098247043813257E-2</v>
      </c>
    </row>
    <row r="40" spans="17:20" x14ac:dyDescent="0.2">
      <c r="Q40" s="81" t="s">
        <v>567</v>
      </c>
      <c r="R40" s="100">
        <v>788527</v>
      </c>
      <c r="S40" s="80">
        <f>S39</f>
        <v>0.32271024591215164</v>
      </c>
      <c r="T40" s="329">
        <f t="shared" si="1"/>
        <v>8.7964272469140994</v>
      </c>
    </row>
    <row r="41" spans="17:20" x14ac:dyDescent="0.2">
      <c r="Q41" s="81" t="s">
        <v>565</v>
      </c>
      <c r="R41" s="100">
        <v>409512</v>
      </c>
      <c r="S41" s="80">
        <f>S40</f>
        <v>0.32271024591215164</v>
      </c>
      <c r="T41" s="329">
        <f t="shared" si="1"/>
        <v>4.5683185417091448</v>
      </c>
    </row>
    <row r="42" spans="17:20" x14ac:dyDescent="0.2">
      <c r="Q42" s="81" t="s">
        <v>563</v>
      </c>
      <c r="R42" s="100">
        <v>1787</v>
      </c>
      <c r="S42" s="80">
        <f>S39</f>
        <v>0.32271024591215164</v>
      </c>
      <c r="T42" s="329">
        <f t="shared" si="1"/>
        <v>1.9934910903793394E-2</v>
      </c>
    </row>
    <row r="43" spans="17:20" ht="22.5" x14ac:dyDescent="0.2">
      <c r="Q43" s="81" t="s">
        <v>561</v>
      </c>
      <c r="R43" s="100"/>
      <c r="S43" s="80"/>
      <c r="T43" s="329"/>
    </row>
    <row r="44" spans="17:20" x14ac:dyDescent="0.2">
      <c r="Q44" s="81" t="s">
        <v>560</v>
      </c>
      <c r="R44" s="100"/>
      <c r="S44" s="80"/>
      <c r="T44" s="329"/>
    </row>
    <row r="45" spans="17:20" x14ac:dyDescent="0.2">
      <c r="Q45" s="81" t="s">
        <v>559</v>
      </c>
      <c r="R45" s="100">
        <v>1029000</v>
      </c>
      <c r="S45" s="80"/>
      <c r="T45" s="329"/>
    </row>
    <row r="46" spans="17:20" x14ac:dyDescent="0.2">
      <c r="Q46" s="81" t="s">
        <v>557</v>
      </c>
      <c r="R46" s="100"/>
      <c r="S46" s="80"/>
      <c r="T46" s="329"/>
    </row>
    <row r="47" spans="17:20" ht="22.5" x14ac:dyDescent="0.2">
      <c r="Q47" s="81" t="s">
        <v>556</v>
      </c>
      <c r="R47" s="100"/>
      <c r="S47" s="80"/>
      <c r="T47" s="329"/>
    </row>
    <row r="48" spans="17:20" ht="22.5" x14ac:dyDescent="0.2">
      <c r="Q48" s="81" t="s">
        <v>555</v>
      </c>
      <c r="R48" s="100"/>
      <c r="S48" s="80"/>
      <c r="T48" s="329"/>
    </row>
    <row r="49" spans="15:21" ht="22.5" x14ac:dyDescent="0.2">
      <c r="Q49" s="81" t="s">
        <v>553</v>
      </c>
      <c r="R49" s="100"/>
      <c r="S49" s="80"/>
      <c r="T49" s="329"/>
    </row>
    <row r="50" spans="15:21" x14ac:dyDescent="0.2">
      <c r="Q50" s="81" t="s">
        <v>551</v>
      </c>
      <c r="R50" s="100"/>
      <c r="S50" s="80"/>
      <c r="T50" s="329"/>
    </row>
    <row r="51" spans="15:21" x14ac:dyDescent="0.2">
      <c r="Q51" s="81" t="s">
        <v>549</v>
      </c>
      <c r="R51" s="100">
        <v>6972647</v>
      </c>
      <c r="S51" s="80">
        <v>0.2805027762784329</v>
      </c>
      <c r="T51" s="329">
        <f t="shared" si="1"/>
        <v>89.487631933752041</v>
      </c>
    </row>
    <row r="52" spans="15:21" x14ac:dyDescent="0.2">
      <c r="Q52" s="81" t="s">
        <v>547</v>
      </c>
      <c r="R52" s="100">
        <v>2703531</v>
      </c>
      <c r="S52" s="80">
        <v>0.25956842465744412</v>
      </c>
      <c r="T52" s="329">
        <f t="shared" si="1"/>
        <v>37.495745535476388</v>
      </c>
    </row>
    <row r="53" spans="15:21" x14ac:dyDescent="0.2">
      <c r="Q53" s="81" t="s">
        <v>545</v>
      </c>
      <c r="R53" s="100">
        <v>2064923</v>
      </c>
      <c r="S53" s="80">
        <v>0.24202040664976729</v>
      </c>
      <c r="T53" s="329">
        <f t="shared" si="1"/>
        <v>30.715272744572708</v>
      </c>
    </row>
    <row r="55" spans="15:21" x14ac:dyDescent="0.2">
      <c r="Q55" s="45" t="s">
        <v>115</v>
      </c>
      <c r="R55" s="100">
        <f>SUM(R26:R53)</f>
        <v>214020710</v>
      </c>
    </row>
    <row r="56" spans="15:21" x14ac:dyDescent="0.2">
      <c r="Q56" s="45" t="s">
        <v>540</v>
      </c>
      <c r="R56" s="100">
        <f>SUM(R51:R53)+SUM(R26:R37)</f>
        <v>200210172</v>
      </c>
      <c r="T56" s="100">
        <f>SUM(T51:T53)+SUM(T26:T37)</f>
        <v>2242.0941039954942</v>
      </c>
    </row>
    <row r="58" spans="15:21" x14ac:dyDescent="0.2">
      <c r="Q58" s="45" t="s">
        <v>2056</v>
      </c>
      <c r="R58" s="100">
        <v>218939000</v>
      </c>
      <c r="U58" s="45" t="s">
        <v>2060</v>
      </c>
    </row>
    <row r="59" spans="15:21" x14ac:dyDescent="0.2">
      <c r="P59" s="45" t="s">
        <v>785</v>
      </c>
      <c r="Q59" s="45" t="s">
        <v>2057</v>
      </c>
      <c r="R59" s="45" t="s">
        <v>2058</v>
      </c>
      <c r="S59" s="45" t="s">
        <v>2066</v>
      </c>
      <c r="T59" s="45" t="s">
        <v>2061</v>
      </c>
    </row>
    <row r="60" spans="15:21" x14ac:dyDescent="0.2">
      <c r="R60" s="45" t="s">
        <v>2033</v>
      </c>
    </row>
    <row r="61" spans="15:21" x14ac:dyDescent="0.2">
      <c r="P61" s="45" t="s">
        <v>115</v>
      </c>
    </row>
    <row r="62" spans="15:21" x14ac:dyDescent="0.2">
      <c r="O62" s="45" t="s">
        <v>2062</v>
      </c>
      <c r="P62" s="45" t="s">
        <v>2016</v>
      </c>
      <c r="Q62" s="45">
        <v>1.04</v>
      </c>
      <c r="R62" s="100">
        <f>Q62*R58/1000</f>
        <v>227696.56</v>
      </c>
    </row>
    <row r="63" spans="15:21" x14ac:dyDescent="0.2">
      <c r="O63" s="45" t="s">
        <v>2042</v>
      </c>
      <c r="P63" s="45" t="s">
        <v>1912</v>
      </c>
      <c r="Q63" s="45">
        <v>8.9</v>
      </c>
      <c r="R63" s="100">
        <f>Q63*R58/1000000</f>
        <v>1948.5571</v>
      </c>
    </row>
    <row r="64" spans="15:21" x14ac:dyDescent="0.2">
      <c r="O64" s="45" t="s">
        <v>2042</v>
      </c>
      <c r="P64" s="45" t="s">
        <v>1913</v>
      </c>
      <c r="Q64" s="45">
        <v>4.2699999999999996</v>
      </c>
      <c r="R64" s="100">
        <f>Q64*R58/1000000</f>
        <v>934.86952999999983</v>
      </c>
    </row>
    <row r="65" spans="16:24" x14ac:dyDescent="0.2">
      <c r="P65" s="45" t="s">
        <v>2115</v>
      </c>
      <c r="Q65" s="45">
        <v>0.47</v>
      </c>
      <c r="R65" s="100">
        <f>Q65*R58/1000000</f>
        <v>102.90133</v>
      </c>
    </row>
    <row r="66" spans="16:24" x14ac:dyDescent="0.2">
      <c r="P66" s="45" t="s">
        <v>2059</v>
      </c>
    </row>
    <row r="67" spans="16:24" x14ac:dyDescent="0.2">
      <c r="P67" s="45" t="s">
        <v>1912</v>
      </c>
      <c r="Q67" s="66">
        <f>R67/S67</f>
        <v>2.8212305358530214</v>
      </c>
      <c r="R67" s="329">
        <f>T67*U67</f>
        <v>3.3898156955877679</v>
      </c>
      <c r="S67" s="390">
        <f>SUM(R39:R42)/1000000</f>
        <v>1.201538</v>
      </c>
      <c r="T67" s="329">
        <f>SUM(T39:T42)</f>
        <v>13.403778946570849</v>
      </c>
      <c r="U67" s="45">
        <v>0.25290000000000001</v>
      </c>
    </row>
    <row r="68" spans="16:24" x14ac:dyDescent="0.2">
      <c r="P68" s="45" t="s">
        <v>1913</v>
      </c>
      <c r="Q68" s="66">
        <f>R68/S68</f>
        <v>2.2311036266136983</v>
      </c>
      <c r="R68" s="329">
        <f>T68*U68</f>
        <v>2.68075578931417</v>
      </c>
      <c r="S68" s="390">
        <f>S67</f>
        <v>1.201538</v>
      </c>
      <c r="T68" s="329">
        <f>T67</f>
        <v>13.403778946570849</v>
      </c>
      <c r="U68" s="45">
        <v>0.2</v>
      </c>
    </row>
    <row r="69" spans="16:24" x14ac:dyDescent="0.2">
      <c r="P69" s="45" t="s">
        <v>2115</v>
      </c>
      <c r="Q69" s="66">
        <f>R69/S69</f>
        <v>0.23426588079443833</v>
      </c>
      <c r="R69" s="329">
        <f>T69*U69</f>
        <v>0.28147935787798783</v>
      </c>
      <c r="S69" s="390">
        <f>S68</f>
        <v>1.201538</v>
      </c>
      <c r="T69" s="329">
        <f>T68</f>
        <v>13.403778946570849</v>
      </c>
      <c r="U69" s="45">
        <v>2.1000000000000001E-2</v>
      </c>
    </row>
    <row r="70" spans="16:24" x14ac:dyDescent="0.2">
      <c r="P70" s="45" t="s">
        <v>2063</v>
      </c>
    </row>
    <row r="71" spans="16:24" x14ac:dyDescent="0.2">
      <c r="P71" s="45" t="s">
        <v>2064</v>
      </c>
      <c r="Q71" s="66">
        <f>R71/S71</f>
        <v>9.7156266580921393</v>
      </c>
      <c r="R71" s="329">
        <f>R63-R67</f>
        <v>1945.1672843044123</v>
      </c>
      <c r="S71" s="329">
        <f>R56/1000000</f>
        <v>200.210172</v>
      </c>
      <c r="T71" s="154">
        <f>T56</f>
        <v>2242.0941039954942</v>
      </c>
      <c r="U71" s="45">
        <f>R71/T71</f>
        <v>0.8675671912423536</v>
      </c>
      <c r="V71" s="45">
        <f>Q71/3.6*(S71*3.6/T71)</f>
        <v>0.86756719124235371</v>
      </c>
      <c r="W71" s="45">
        <f>CommData!H10</f>
        <v>6.7888987782183019</v>
      </c>
      <c r="X71" s="329">
        <f>W71*R71</f>
        <v>13205.543799844438</v>
      </c>
    </row>
    <row r="72" spans="16:24" x14ac:dyDescent="0.2">
      <c r="P72" s="45" t="s">
        <v>2065</v>
      </c>
      <c r="Q72" s="66">
        <f>R72/S72</f>
        <v>4.656051013285607</v>
      </c>
      <c r="R72" s="329">
        <f>R64-R68</f>
        <v>932.18877421068566</v>
      </c>
      <c r="S72" s="329">
        <f>S71</f>
        <v>200.210172</v>
      </c>
      <c r="T72" s="154">
        <f>T71</f>
        <v>2242.0941039954942</v>
      </c>
      <c r="U72" s="45">
        <f>R72/T72</f>
        <v>0.41576701555456169</v>
      </c>
      <c r="W72" s="45">
        <f>CommData!H11</f>
        <v>3.9795452706529653</v>
      </c>
      <c r="X72" s="329">
        <f t="shared" ref="X72:X73" si="2">W72*R72</f>
        <v>3709.687427765919</v>
      </c>
    </row>
    <row r="73" spans="16:24" x14ac:dyDescent="0.2">
      <c r="P73" s="45" t="s">
        <v>2115</v>
      </c>
      <c r="Q73" s="66">
        <f>R73/S73</f>
        <v>0.5125606237535324</v>
      </c>
      <c r="R73" s="329">
        <f>R65-R69</f>
        <v>102.61985064212202</v>
      </c>
      <c r="S73" s="329">
        <f>S72</f>
        <v>200.210172</v>
      </c>
      <c r="T73" s="154">
        <f>T72</f>
        <v>2242.0941039954942</v>
      </c>
      <c r="U73" s="45">
        <f>R73/T73</f>
        <v>4.5769644752755773E-2</v>
      </c>
      <c r="W73" s="45">
        <f>CommData!H12</f>
        <v>10.110099522615098</v>
      </c>
      <c r="X73" s="329">
        <f t="shared" si="2"/>
        <v>1037.4969029877504</v>
      </c>
    </row>
  </sheetData>
  <conditionalFormatting sqref="S26:S53">
    <cfRule type="colorScale" priority="1">
      <colorScale>
        <cfvo type="min"/>
        <cfvo type="percentile" val="50"/>
        <cfvo type="max"/>
        <color rgb="FF5A8AC6"/>
        <color rgb="FFFCFCFF"/>
        <color rgb="FFF8696B"/>
      </colorScale>
    </cfRule>
  </conditionalFormatting>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BE041-8EF9-428C-A0D0-D76827FEF77C}">
  <sheetPr codeName="Sheet29"/>
  <dimension ref="A3:AT146"/>
  <sheetViews>
    <sheetView workbookViewId="0">
      <selection activeCell="N22" sqref="N22"/>
    </sheetView>
  </sheetViews>
  <sheetFormatPr defaultColWidth="9.140625" defaultRowHeight="12.75" x14ac:dyDescent="0.2"/>
  <cols>
    <col min="1" max="16384" width="9.140625" style="45"/>
  </cols>
  <sheetData>
    <row r="3" spans="1:46" x14ac:dyDescent="0.2">
      <c r="C3" s="45" t="s">
        <v>716</v>
      </c>
      <c r="D3" s="45">
        <v>1</v>
      </c>
      <c r="E3" s="45">
        <v>2</v>
      </c>
      <c r="F3" s="45">
        <v>3</v>
      </c>
      <c r="G3" s="45">
        <v>4</v>
      </c>
      <c r="H3" s="45">
        <v>5</v>
      </c>
      <c r="I3" s="45">
        <v>6</v>
      </c>
      <c r="J3" s="45">
        <v>7</v>
      </c>
      <c r="K3" s="45">
        <v>8</v>
      </c>
      <c r="L3" s="45">
        <v>9</v>
      </c>
      <c r="M3" s="45">
        <v>10</v>
      </c>
      <c r="N3" s="45" t="s">
        <v>43</v>
      </c>
      <c r="O3" s="45">
        <v>2019</v>
      </c>
      <c r="P3" s="45">
        <v>2020</v>
      </c>
      <c r="Q3" s="45">
        <v>2021</v>
      </c>
      <c r="R3" s="45">
        <v>2022</v>
      </c>
      <c r="S3" s="45">
        <v>2023</v>
      </c>
      <c r="T3" s="45">
        <v>2024</v>
      </c>
      <c r="U3" s="45">
        <v>2025</v>
      </c>
      <c r="V3" s="45">
        <v>2026</v>
      </c>
      <c r="W3" s="45">
        <v>2027</v>
      </c>
      <c r="X3" s="45">
        <v>2028</v>
      </c>
      <c r="Y3" s="45">
        <v>2029</v>
      </c>
      <c r="Z3" s="45">
        <v>2030</v>
      </c>
      <c r="AA3" s="45">
        <v>2031</v>
      </c>
      <c r="AB3" s="45">
        <v>2032</v>
      </c>
      <c r="AC3" s="45">
        <v>2033</v>
      </c>
      <c r="AD3" s="45">
        <v>2034</v>
      </c>
      <c r="AE3" s="45">
        <v>2035</v>
      </c>
      <c r="AF3" s="45">
        <v>2036</v>
      </c>
      <c r="AG3" s="45">
        <v>2037</v>
      </c>
      <c r="AH3" s="45">
        <v>2038</v>
      </c>
      <c r="AI3" s="45">
        <v>2039</v>
      </c>
      <c r="AJ3" s="45">
        <v>2040</v>
      </c>
      <c r="AK3" s="45">
        <v>2041</v>
      </c>
      <c r="AL3" s="45">
        <v>2042</v>
      </c>
      <c r="AM3" s="45">
        <v>2043</v>
      </c>
      <c r="AN3" s="45">
        <v>2044</v>
      </c>
      <c r="AO3" s="45">
        <v>2045</v>
      </c>
      <c r="AP3" s="45">
        <v>2046</v>
      </c>
      <c r="AQ3" s="45">
        <v>2047</v>
      </c>
      <c r="AR3" s="45">
        <v>2048</v>
      </c>
      <c r="AS3" s="45">
        <v>2049</v>
      </c>
      <c r="AT3" s="45">
        <v>2050</v>
      </c>
    </row>
    <row r="4" spans="1:46" ht="15.75" x14ac:dyDescent="0.25">
      <c r="A4" s="30" t="s">
        <v>307</v>
      </c>
      <c r="C4" s="45" t="s">
        <v>470</v>
      </c>
      <c r="D4" s="489">
        <v>2024</v>
      </c>
      <c r="E4" s="489">
        <v>2024</v>
      </c>
      <c r="F4" s="489">
        <v>2025</v>
      </c>
      <c r="G4" s="489">
        <v>2026</v>
      </c>
      <c r="H4" s="489">
        <v>2026</v>
      </c>
      <c r="I4" s="489">
        <v>2025</v>
      </c>
      <c r="J4" s="489">
        <v>2026</v>
      </c>
      <c r="K4" s="452"/>
      <c r="L4" s="452"/>
      <c r="M4" s="452"/>
      <c r="N4" s="45">
        <f t="shared" ref="N4:N17" si="0">COUNT(D4:M4)</f>
        <v>7</v>
      </c>
      <c r="O4" s="45">
        <f>ProcDataGenPre2012!AU9</f>
        <v>1.4810000000000001</v>
      </c>
      <c r="P4" s="45">
        <f t="shared" ref="P4:AT4" si="1">COUNTIF($D4:$M4,P$3)*-$O4/$N4+O4</f>
        <v>1.4810000000000001</v>
      </c>
      <c r="Q4" s="45">
        <f t="shared" si="1"/>
        <v>1.4810000000000001</v>
      </c>
      <c r="R4" s="45">
        <f t="shared" si="1"/>
        <v>1.4810000000000001</v>
      </c>
      <c r="S4" s="45">
        <f t="shared" si="1"/>
        <v>1.4810000000000001</v>
      </c>
      <c r="T4" s="45">
        <f t="shared" si="1"/>
        <v>1.0578571428571428</v>
      </c>
      <c r="U4" s="45">
        <f t="shared" si="1"/>
        <v>0.63471428571428568</v>
      </c>
      <c r="V4" s="45">
        <f t="shared" si="1"/>
        <v>0</v>
      </c>
      <c r="W4" s="45">
        <f t="shared" si="1"/>
        <v>0</v>
      </c>
      <c r="X4" s="45">
        <f t="shared" si="1"/>
        <v>0</v>
      </c>
      <c r="Y4" s="45">
        <f t="shared" si="1"/>
        <v>0</v>
      </c>
      <c r="Z4" s="45">
        <f t="shared" si="1"/>
        <v>0</v>
      </c>
      <c r="AA4" s="45">
        <f t="shared" si="1"/>
        <v>0</v>
      </c>
      <c r="AB4" s="45">
        <f t="shared" si="1"/>
        <v>0</v>
      </c>
      <c r="AC4" s="45">
        <f t="shared" si="1"/>
        <v>0</v>
      </c>
      <c r="AD4" s="45">
        <f t="shared" si="1"/>
        <v>0</v>
      </c>
      <c r="AE4" s="45">
        <f t="shared" si="1"/>
        <v>0</v>
      </c>
      <c r="AF4" s="45">
        <f t="shared" si="1"/>
        <v>0</v>
      </c>
      <c r="AG4" s="45">
        <f t="shared" si="1"/>
        <v>0</v>
      </c>
      <c r="AH4" s="45">
        <f t="shared" si="1"/>
        <v>0</v>
      </c>
      <c r="AI4" s="45">
        <f t="shared" si="1"/>
        <v>0</v>
      </c>
      <c r="AJ4" s="45">
        <f t="shared" si="1"/>
        <v>0</v>
      </c>
      <c r="AK4" s="45">
        <f t="shared" si="1"/>
        <v>0</v>
      </c>
      <c r="AL4" s="45">
        <f t="shared" si="1"/>
        <v>0</v>
      </c>
      <c r="AM4" s="45">
        <f t="shared" si="1"/>
        <v>0</v>
      </c>
      <c r="AN4" s="45">
        <f t="shared" si="1"/>
        <v>0</v>
      </c>
      <c r="AO4" s="45">
        <f t="shared" si="1"/>
        <v>0</v>
      </c>
      <c r="AP4" s="45">
        <f t="shared" si="1"/>
        <v>0</v>
      </c>
      <c r="AQ4" s="45">
        <f t="shared" si="1"/>
        <v>0</v>
      </c>
      <c r="AR4" s="45">
        <f t="shared" si="1"/>
        <v>0</v>
      </c>
      <c r="AS4" s="45">
        <f t="shared" si="1"/>
        <v>0</v>
      </c>
      <c r="AT4" s="45">
        <f t="shared" si="1"/>
        <v>0</v>
      </c>
    </row>
    <row r="5" spans="1:46" ht="15.75" x14ac:dyDescent="0.25">
      <c r="A5" s="30" t="s">
        <v>305</v>
      </c>
      <c r="C5" s="45" t="s">
        <v>405</v>
      </c>
      <c r="D5" s="452">
        <v>2026</v>
      </c>
      <c r="E5" s="489">
        <v>2027</v>
      </c>
      <c r="F5" s="489">
        <v>2028</v>
      </c>
      <c r="G5" s="452"/>
      <c r="H5" s="452"/>
      <c r="I5" s="452"/>
      <c r="J5" s="452"/>
      <c r="K5" s="452"/>
      <c r="L5" s="452"/>
      <c r="M5" s="452"/>
      <c r="N5" s="45">
        <f t="shared" si="0"/>
        <v>3</v>
      </c>
      <c r="O5" s="45">
        <f>ProcDataGenPre2012!AU10</f>
        <v>0.56999999999999995</v>
      </c>
      <c r="P5" s="45">
        <f t="shared" ref="P5:AT5" si="2">COUNTIF($D5:$M5,P$3)*-$O5/$N5+O5</f>
        <v>0.56999999999999995</v>
      </c>
      <c r="Q5" s="45">
        <f t="shared" si="2"/>
        <v>0.56999999999999995</v>
      </c>
      <c r="R5" s="45">
        <f t="shared" si="2"/>
        <v>0.56999999999999995</v>
      </c>
      <c r="S5" s="45">
        <f t="shared" si="2"/>
        <v>0.56999999999999995</v>
      </c>
      <c r="T5" s="45">
        <f t="shared" si="2"/>
        <v>0.56999999999999995</v>
      </c>
      <c r="U5" s="45">
        <f t="shared" si="2"/>
        <v>0.56999999999999995</v>
      </c>
      <c r="V5" s="45">
        <f t="shared" si="2"/>
        <v>0.38</v>
      </c>
      <c r="W5" s="45">
        <f t="shared" si="2"/>
        <v>0.19000000000000003</v>
      </c>
      <c r="X5" s="45">
        <f t="shared" si="2"/>
        <v>0</v>
      </c>
      <c r="Y5" s="45">
        <f t="shared" si="2"/>
        <v>0</v>
      </c>
      <c r="Z5" s="45">
        <f t="shared" si="2"/>
        <v>0</v>
      </c>
      <c r="AA5" s="45">
        <f t="shared" si="2"/>
        <v>0</v>
      </c>
      <c r="AB5" s="45">
        <f t="shared" si="2"/>
        <v>0</v>
      </c>
      <c r="AC5" s="45">
        <f t="shared" si="2"/>
        <v>0</v>
      </c>
      <c r="AD5" s="45">
        <f t="shared" si="2"/>
        <v>0</v>
      </c>
      <c r="AE5" s="45">
        <f t="shared" si="2"/>
        <v>0</v>
      </c>
      <c r="AF5" s="45">
        <f t="shared" si="2"/>
        <v>0</v>
      </c>
      <c r="AG5" s="45">
        <f t="shared" si="2"/>
        <v>0</v>
      </c>
      <c r="AH5" s="45">
        <f t="shared" si="2"/>
        <v>0</v>
      </c>
      <c r="AI5" s="45">
        <f t="shared" si="2"/>
        <v>0</v>
      </c>
      <c r="AJ5" s="45">
        <f t="shared" si="2"/>
        <v>0</v>
      </c>
      <c r="AK5" s="45">
        <f t="shared" si="2"/>
        <v>0</v>
      </c>
      <c r="AL5" s="45">
        <f t="shared" si="2"/>
        <v>0</v>
      </c>
      <c r="AM5" s="45">
        <f t="shared" si="2"/>
        <v>0</v>
      </c>
      <c r="AN5" s="45">
        <f t="shared" si="2"/>
        <v>0</v>
      </c>
      <c r="AO5" s="45">
        <f t="shared" si="2"/>
        <v>0</v>
      </c>
      <c r="AP5" s="45">
        <f t="shared" si="2"/>
        <v>0</v>
      </c>
      <c r="AQ5" s="45">
        <f t="shared" si="2"/>
        <v>0</v>
      </c>
      <c r="AR5" s="45">
        <f t="shared" si="2"/>
        <v>0</v>
      </c>
      <c r="AS5" s="45">
        <f t="shared" si="2"/>
        <v>0</v>
      </c>
      <c r="AT5" s="45">
        <f t="shared" si="2"/>
        <v>0</v>
      </c>
    </row>
    <row r="6" spans="1:46" ht="15.75" x14ac:dyDescent="0.25">
      <c r="A6" s="30" t="s">
        <v>303</v>
      </c>
      <c r="C6" s="45" t="s">
        <v>406</v>
      </c>
      <c r="D6" s="453">
        <v>2020</v>
      </c>
      <c r="E6" s="453">
        <v>2020</v>
      </c>
      <c r="F6" s="453">
        <v>2021</v>
      </c>
      <c r="G6" s="452"/>
      <c r="H6" s="452"/>
      <c r="I6" s="452"/>
      <c r="J6" s="452"/>
      <c r="K6" s="452"/>
      <c r="L6" s="452">
        <v>2022</v>
      </c>
      <c r="M6" s="452"/>
      <c r="N6" s="45">
        <f t="shared" si="0"/>
        <v>4</v>
      </c>
      <c r="O6" s="45">
        <f>ProcDataGenPre2012!AU11</f>
        <v>0.41</v>
      </c>
      <c r="P6" s="45">
        <f t="shared" ref="P6:AT6" si="3">COUNTIF($D6:$M6,P$3)*-$O6/$N6+O6</f>
        <v>0.20499999999999999</v>
      </c>
      <c r="Q6" s="45">
        <f t="shared" si="3"/>
        <v>0.10249999999999999</v>
      </c>
      <c r="R6" s="45">
        <f t="shared" si="3"/>
        <v>0</v>
      </c>
      <c r="S6" s="45">
        <f t="shared" si="3"/>
        <v>0</v>
      </c>
      <c r="T6" s="45">
        <f t="shared" si="3"/>
        <v>0</v>
      </c>
      <c r="U6" s="45">
        <f t="shared" si="3"/>
        <v>0</v>
      </c>
      <c r="V6" s="45">
        <f t="shared" si="3"/>
        <v>0</v>
      </c>
      <c r="W6" s="45">
        <f t="shared" si="3"/>
        <v>0</v>
      </c>
      <c r="X6" s="45">
        <f t="shared" si="3"/>
        <v>0</v>
      </c>
      <c r="Y6" s="45">
        <f t="shared" si="3"/>
        <v>0</v>
      </c>
      <c r="Z6" s="45">
        <f t="shared" si="3"/>
        <v>0</v>
      </c>
      <c r="AA6" s="45">
        <f t="shared" si="3"/>
        <v>0</v>
      </c>
      <c r="AB6" s="45">
        <f t="shared" si="3"/>
        <v>0</v>
      </c>
      <c r="AC6" s="45">
        <f t="shared" si="3"/>
        <v>0</v>
      </c>
      <c r="AD6" s="45">
        <f t="shared" si="3"/>
        <v>0</v>
      </c>
      <c r="AE6" s="45">
        <f t="shared" si="3"/>
        <v>0</v>
      </c>
      <c r="AF6" s="45">
        <f t="shared" si="3"/>
        <v>0</v>
      </c>
      <c r="AG6" s="45">
        <f t="shared" si="3"/>
        <v>0</v>
      </c>
      <c r="AH6" s="45">
        <f t="shared" si="3"/>
        <v>0</v>
      </c>
      <c r="AI6" s="45">
        <f t="shared" si="3"/>
        <v>0</v>
      </c>
      <c r="AJ6" s="45">
        <f t="shared" si="3"/>
        <v>0</v>
      </c>
      <c r="AK6" s="45">
        <f t="shared" si="3"/>
        <v>0</v>
      </c>
      <c r="AL6" s="45">
        <f t="shared" si="3"/>
        <v>0</v>
      </c>
      <c r="AM6" s="45">
        <f t="shared" si="3"/>
        <v>0</v>
      </c>
      <c r="AN6" s="45">
        <f t="shared" si="3"/>
        <v>0</v>
      </c>
      <c r="AO6" s="45">
        <f t="shared" si="3"/>
        <v>0</v>
      </c>
      <c r="AP6" s="45">
        <f t="shared" si="3"/>
        <v>0</v>
      </c>
      <c r="AQ6" s="45">
        <f t="shared" si="3"/>
        <v>0</v>
      </c>
      <c r="AR6" s="45">
        <f t="shared" si="3"/>
        <v>0</v>
      </c>
      <c r="AS6" s="45">
        <f t="shared" si="3"/>
        <v>0</v>
      </c>
      <c r="AT6" s="45">
        <f t="shared" si="3"/>
        <v>0</v>
      </c>
    </row>
    <row r="7" spans="1:46" ht="15.75" x14ac:dyDescent="0.25">
      <c r="A7" s="30" t="s">
        <v>301</v>
      </c>
      <c r="C7" s="45" t="s">
        <v>416</v>
      </c>
      <c r="D7" s="452">
        <v>2027</v>
      </c>
      <c r="E7" s="452">
        <v>2026</v>
      </c>
      <c r="F7" s="452">
        <v>2026</v>
      </c>
      <c r="G7" s="452">
        <v>2027</v>
      </c>
      <c r="H7" s="452">
        <v>2029</v>
      </c>
      <c r="I7" s="452">
        <v>2029</v>
      </c>
      <c r="J7" s="452"/>
      <c r="K7" s="452"/>
      <c r="L7" s="452"/>
      <c r="M7" s="452"/>
      <c r="N7" s="45">
        <f t="shared" si="0"/>
        <v>6</v>
      </c>
      <c r="O7" s="45">
        <f>ProcDataGenPre2012!AU12</f>
        <v>2.2320000000000002</v>
      </c>
      <c r="P7" s="45">
        <f t="shared" ref="P7:AT7" si="4">COUNTIF($D7:$M7,P$3)*-$O7/$N7+O7</f>
        <v>2.2320000000000002</v>
      </c>
      <c r="Q7" s="45">
        <f t="shared" si="4"/>
        <v>2.2320000000000002</v>
      </c>
      <c r="R7" s="45">
        <f t="shared" si="4"/>
        <v>2.2320000000000002</v>
      </c>
      <c r="S7" s="45">
        <f t="shared" si="4"/>
        <v>2.2320000000000002</v>
      </c>
      <c r="T7" s="45">
        <f t="shared" si="4"/>
        <v>2.2320000000000002</v>
      </c>
      <c r="U7" s="45">
        <f t="shared" si="4"/>
        <v>2.2320000000000002</v>
      </c>
      <c r="V7" s="45">
        <f t="shared" si="4"/>
        <v>1.488</v>
      </c>
      <c r="W7" s="45">
        <f t="shared" si="4"/>
        <v>0.74399999999999988</v>
      </c>
      <c r="X7" s="45">
        <f t="shared" si="4"/>
        <v>0.74399999999999988</v>
      </c>
      <c r="Y7" s="45">
        <f t="shared" si="4"/>
        <v>0</v>
      </c>
      <c r="Z7" s="45">
        <f t="shared" si="4"/>
        <v>0</v>
      </c>
      <c r="AA7" s="45">
        <f t="shared" si="4"/>
        <v>0</v>
      </c>
      <c r="AB7" s="45">
        <f t="shared" si="4"/>
        <v>0</v>
      </c>
      <c r="AC7" s="45">
        <f t="shared" si="4"/>
        <v>0</v>
      </c>
      <c r="AD7" s="45">
        <f t="shared" si="4"/>
        <v>0</v>
      </c>
      <c r="AE7" s="45">
        <f t="shared" si="4"/>
        <v>0</v>
      </c>
      <c r="AF7" s="45">
        <f t="shared" si="4"/>
        <v>0</v>
      </c>
      <c r="AG7" s="45">
        <f t="shared" si="4"/>
        <v>0</v>
      </c>
      <c r="AH7" s="45">
        <f t="shared" si="4"/>
        <v>0</v>
      </c>
      <c r="AI7" s="45">
        <f t="shared" si="4"/>
        <v>0</v>
      </c>
      <c r="AJ7" s="45">
        <f t="shared" si="4"/>
        <v>0</v>
      </c>
      <c r="AK7" s="45">
        <f t="shared" si="4"/>
        <v>0</v>
      </c>
      <c r="AL7" s="45">
        <f t="shared" si="4"/>
        <v>0</v>
      </c>
      <c r="AM7" s="45">
        <f t="shared" si="4"/>
        <v>0</v>
      </c>
      <c r="AN7" s="45">
        <f t="shared" si="4"/>
        <v>0</v>
      </c>
      <c r="AO7" s="45">
        <f t="shared" si="4"/>
        <v>0</v>
      </c>
      <c r="AP7" s="45">
        <f t="shared" si="4"/>
        <v>0</v>
      </c>
      <c r="AQ7" s="45">
        <f t="shared" si="4"/>
        <v>0</v>
      </c>
      <c r="AR7" s="45">
        <f t="shared" si="4"/>
        <v>0</v>
      </c>
      <c r="AS7" s="45">
        <f t="shared" si="4"/>
        <v>0</v>
      </c>
      <c r="AT7" s="45">
        <f t="shared" si="4"/>
        <v>0</v>
      </c>
    </row>
    <row r="8" spans="1:46" ht="15.75" x14ac:dyDescent="0.25">
      <c r="A8" s="30" t="s">
        <v>299</v>
      </c>
      <c r="C8" s="45" t="s">
        <v>466</v>
      </c>
      <c r="D8" s="452">
        <v>2031</v>
      </c>
      <c r="E8" s="452">
        <v>2031</v>
      </c>
      <c r="F8" s="452"/>
      <c r="G8" s="452">
        <v>2033</v>
      </c>
      <c r="H8" s="452">
        <v>2033</v>
      </c>
      <c r="I8" s="452">
        <v>2034</v>
      </c>
      <c r="J8" s="452"/>
      <c r="K8" s="452"/>
      <c r="L8" s="452"/>
      <c r="M8" s="452"/>
      <c r="N8" s="45">
        <f t="shared" si="0"/>
        <v>5</v>
      </c>
      <c r="O8" s="45">
        <f>ProcDataGenPre2012!AU13</f>
        <v>2.875</v>
      </c>
      <c r="P8" s="45">
        <f t="shared" ref="P8:AT8" si="5">COUNTIF($D8:$M8,P$3)*-$O8/$N8+O8</f>
        <v>2.875</v>
      </c>
      <c r="Q8" s="45">
        <f t="shared" si="5"/>
        <v>2.875</v>
      </c>
      <c r="R8" s="45">
        <f t="shared" si="5"/>
        <v>2.875</v>
      </c>
      <c r="S8" s="45">
        <f t="shared" si="5"/>
        <v>2.875</v>
      </c>
      <c r="T8" s="45">
        <f t="shared" si="5"/>
        <v>2.875</v>
      </c>
      <c r="U8" s="45">
        <f t="shared" si="5"/>
        <v>2.875</v>
      </c>
      <c r="V8" s="45">
        <f t="shared" si="5"/>
        <v>2.875</v>
      </c>
      <c r="W8" s="45">
        <f t="shared" si="5"/>
        <v>2.875</v>
      </c>
      <c r="X8" s="45">
        <f t="shared" si="5"/>
        <v>2.875</v>
      </c>
      <c r="Y8" s="45">
        <f t="shared" si="5"/>
        <v>2.875</v>
      </c>
      <c r="Z8" s="45">
        <f t="shared" si="5"/>
        <v>2.875</v>
      </c>
      <c r="AA8" s="45">
        <f t="shared" si="5"/>
        <v>1.7250000000000001</v>
      </c>
      <c r="AB8" s="45">
        <f t="shared" si="5"/>
        <v>1.7250000000000001</v>
      </c>
      <c r="AC8" s="45">
        <f t="shared" si="5"/>
        <v>0.57500000000000018</v>
      </c>
      <c r="AD8" s="45">
        <f t="shared" si="5"/>
        <v>0</v>
      </c>
      <c r="AE8" s="45">
        <f t="shared" si="5"/>
        <v>0</v>
      </c>
      <c r="AF8" s="45">
        <f t="shared" si="5"/>
        <v>0</v>
      </c>
      <c r="AG8" s="45">
        <f t="shared" si="5"/>
        <v>0</v>
      </c>
      <c r="AH8" s="45">
        <f t="shared" si="5"/>
        <v>0</v>
      </c>
      <c r="AI8" s="45">
        <f t="shared" si="5"/>
        <v>0</v>
      </c>
      <c r="AJ8" s="45">
        <f t="shared" si="5"/>
        <v>0</v>
      </c>
      <c r="AK8" s="45">
        <f t="shared" si="5"/>
        <v>0</v>
      </c>
      <c r="AL8" s="45">
        <f t="shared" si="5"/>
        <v>0</v>
      </c>
      <c r="AM8" s="45">
        <f t="shared" si="5"/>
        <v>0</v>
      </c>
      <c r="AN8" s="45">
        <f t="shared" si="5"/>
        <v>0</v>
      </c>
      <c r="AO8" s="45">
        <f t="shared" si="5"/>
        <v>0</v>
      </c>
      <c r="AP8" s="45">
        <f t="shared" si="5"/>
        <v>0</v>
      </c>
      <c r="AQ8" s="45">
        <f t="shared" si="5"/>
        <v>0</v>
      </c>
      <c r="AR8" s="45">
        <f t="shared" si="5"/>
        <v>0</v>
      </c>
      <c r="AS8" s="45">
        <f t="shared" si="5"/>
        <v>0</v>
      </c>
      <c r="AT8" s="45">
        <f t="shared" si="5"/>
        <v>0</v>
      </c>
    </row>
    <row r="9" spans="1:46" ht="15.75" x14ac:dyDescent="0.25">
      <c r="A9" s="30" t="s">
        <v>297</v>
      </c>
      <c r="C9" s="45" t="s">
        <v>409</v>
      </c>
      <c r="D9" s="453">
        <v>2021</v>
      </c>
      <c r="E9" s="452">
        <v>2025</v>
      </c>
      <c r="F9" s="452"/>
      <c r="G9" s="452">
        <v>2025</v>
      </c>
      <c r="H9" s="452">
        <v>2025</v>
      </c>
      <c r="I9" s="452">
        <v>2025</v>
      </c>
      <c r="J9" s="452">
        <v>2024</v>
      </c>
      <c r="K9" s="452"/>
      <c r="L9" s="452"/>
      <c r="M9" s="452">
        <v>2023</v>
      </c>
      <c r="N9" s="45">
        <f t="shared" si="0"/>
        <v>7</v>
      </c>
      <c r="O9" s="45">
        <f>ProcDataGenPre2012!AU14</f>
        <v>1.2929999999999999</v>
      </c>
      <c r="P9" s="45">
        <f t="shared" ref="P9:AT9" si="6">COUNTIF($D9:$M9,P$3)*-$O9/$N9+O9</f>
        <v>1.2929999999999999</v>
      </c>
      <c r="Q9" s="45">
        <f t="shared" si="6"/>
        <v>1.1082857142857143</v>
      </c>
      <c r="R9" s="45">
        <f t="shared" si="6"/>
        <v>1.1082857142857143</v>
      </c>
      <c r="S9" s="45">
        <f t="shared" si="6"/>
        <v>0.9235714285714286</v>
      </c>
      <c r="T9" s="45">
        <f t="shared" si="6"/>
        <v>0.73885714285714288</v>
      </c>
      <c r="U9" s="45">
        <f t="shared" si="6"/>
        <v>0</v>
      </c>
      <c r="V9" s="45">
        <f t="shared" si="6"/>
        <v>0</v>
      </c>
      <c r="W9" s="45">
        <f t="shared" si="6"/>
        <v>0</v>
      </c>
      <c r="X9" s="45">
        <f t="shared" si="6"/>
        <v>0</v>
      </c>
      <c r="Y9" s="45">
        <f t="shared" si="6"/>
        <v>0</v>
      </c>
      <c r="Z9" s="45">
        <f t="shared" si="6"/>
        <v>0</v>
      </c>
      <c r="AA9" s="45">
        <f t="shared" si="6"/>
        <v>0</v>
      </c>
      <c r="AB9" s="45">
        <f t="shared" si="6"/>
        <v>0</v>
      </c>
      <c r="AC9" s="45">
        <f t="shared" si="6"/>
        <v>0</v>
      </c>
      <c r="AD9" s="45">
        <f t="shared" si="6"/>
        <v>0</v>
      </c>
      <c r="AE9" s="45">
        <f t="shared" si="6"/>
        <v>0</v>
      </c>
      <c r="AF9" s="45">
        <f t="shared" si="6"/>
        <v>0</v>
      </c>
      <c r="AG9" s="45">
        <f t="shared" si="6"/>
        <v>0</v>
      </c>
      <c r="AH9" s="45">
        <f t="shared" si="6"/>
        <v>0</v>
      </c>
      <c r="AI9" s="45">
        <f t="shared" si="6"/>
        <v>0</v>
      </c>
      <c r="AJ9" s="45">
        <f t="shared" si="6"/>
        <v>0</v>
      </c>
      <c r="AK9" s="45">
        <f t="shared" si="6"/>
        <v>0</v>
      </c>
      <c r="AL9" s="45">
        <f t="shared" si="6"/>
        <v>0</v>
      </c>
      <c r="AM9" s="45">
        <f t="shared" si="6"/>
        <v>0</v>
      </c>
      <c r="AN9" s="45">
        <f t="shared" si="6"/>
        <v>0</v>
      </c>
      <c r="AO9" s="45">
        <f t="shared" si="6"/>
        <v>0</v>
      </c>
      <c r="AP9" s="45">
        <f t="shared" si="6"/>
        <v>0</v>
      </c>
      <c r="AQ9" s="45">
        <f t="shared" si="6"/>
        <v>0</v>
      </c>
      <c r="AR9" s="45">
        <f t="shared" si="6"/>
        <v>0</v>
      </c>
      <c r="AS9" s="45">
        <f t="shared" si="6"/>
        <v>0</v>
      </c>
      <c r="AT9" s="45">
        <f t="shared" si="6"/>
        <v>0</v>
      </c>
    </row>
    <row r="10" spans="1:46" ht="15.75" x14ac:dyDescent="0.25">
      <c r="A10" s="30" t="s">
        <v>295</v>
      </c>
      <c r="C10" s="45" t="s">
        <v>455</v>
      </c>
      <c r="D10" s="452">
        <v>2039</v>
      </c>
      <c r="E10" s="452">
        <v>2041</v>
      </c>
      <c r="F10" s="452">
        <v>2042</v>
      </c>
      <c r="G10" s="452">
        <v>2042</v>
      </c>
      <c r="H10" s="452">
        <v>2043</v>
      </c>
      <c r="I10" s="452">
        <v>2044</v>
      </c>
      <c r="J10" s="452"/>
      <c r="K10" s="452"/>
      <c r="L10" s="452"/>
      <c r="M10" s="452"/>
      <c r="N10" s="45">
        <f t="shared" si="0"/>
        <v>6</v>
      </c>
      <c r="O10" s="45">
        <f>ProcDataGenPre2012!AU15</f>
        <v>3.84</v>
      </c>
      <c r="P10" s="45">
        <f t="shared" ref="P10:AT10" si="7">COUNTIF($D10:$M10,P$3)*-$O10/$N10+O10</f>
        <v>3.84</v>
      </c>
      <c r="Q10" s="45">
        <f t="shared" si="7"/>
        <v>3.84</v>
      </c>
      <c r="R10" s="45">
        <f t="shared" si="7"/>
        <v>3.84</v>
      </c>
      <c r="S10" s="45">
        <f t="shared" si="7"/>
        <v>3.84</v>
      </c>
      <c r="T10" s="45">
        <f t="shared" si="7"/>
        <v>3.84</v>
      </c>
      <c r="U10" s="45">
        <f t="shared" si="7"/>
        <v>3.84</v>
      </c>
      <c r="V10" s="45">
        <f t="shared" si="7"/>
        <v>3.84</v>
      </c>
      <c r="W10" s="45">
        <f t="shared" si="7"/>
        <v>3.84</v>
      </c>
      <c r="X10" s="45">
        <f t="shared" si="7"/>
        <v>3.84</v>
      </c>
      <c r="Y10" s="45">
        <f t="shared" si="7"/>
        <v>3.84</v>
      </c>
      <c r="Z10" s="45">
        <f t="shared" si="7"/>
        <v>3.84</v>
      </c>
      <c r="AA10" s="45">
        <f t="shared" si="7"/>
        <v>3.84</v>
      </c>
      <c r="AB10" s="45">
        <f t="shared" si="7"/>
        <v>3.84</v>
      </c>
      <c r="AC10" s="45">
        <f t="shared" si="7"/>
        <v>3.84</v>
      </c>
      <c r="AD10" s="45">
        <f t="shared" si="7"/>
        <v>3.84</v>
      </c>
      <c r="AE10" s="45">
        <f t="shared" si="7"/>
        <v>3.84</v>
      </c>
      <c r="AF10" s="45">
        <f t="shared" si="7"/>
        <v>3.84</v>
      </c>
      <c r="AG10" s="45">
        <f t="shared" si="7"/>
        <v>3.84</v>
      </c>
      <c r="AH10" s="45">
        <f t="shared" si="7"/>
        <v>3.84</v>
      </c>
      <c r="AI10" s="45">
        <f t="shared" si="7"/>
        <v>3.1999999999999997</v>
      </c>
      <c r="AJ10" s="45">
        <f t="shared" si="7"/>
        <v>3.1999999999999997</v>
      </c>
      <c r="AK10" s="45">
        <f t="shared" si="7"/>
        <v>2.5599999999999996</v>
      </c>
      <c r="AL10" s="45">
        <f t="shared" si="7"/>
        <v>1.2799999999999996</v>
      </c>
      <c r="AM10" s="45">
        <f t="shared" si="7"/>
        <v>0.63999999999999957</v>
      </c>
      <c r="AN10" s="45">
        <f t="shared" si="7"/>
        <v>0</v>
      </c>
      <c r="AO10" s="45">
        <f t="shared" si="7"/>
        <v>0</v>
      </c>
      <c r="AP10" s="45">
        <f t="shared" si="7"/>
        <v>0</v>
      </c>
      <c r="AQ10" s="45">
        <f t="shared" si="7"/>
        <v>0</v>
      </c>
      <c r="AR10" s="45">
        <f t="shared" si="7"/>
        <v>0</v>
      </c>
      <c r="AS10" s="45">
        <f t="shared" si="7"/>
        <v>0</v>
      </c>
      <c r="AT10" s="45">
        <f t="shared" si="7"/>
        <v>0</v>
      </c>
    </row>
    <row r="11" spans="1:46" ht="15.75" x14ac:dyDescent="0.25">
      <c r="A11" s="30" t="s">
        <v>293</v>
      </c>
      <c r="C11" s="45" t="s">
        <v>410</v>
      </c>
      <c r="D11" s="452">
        <v>2026</v>
      </c>
      <c r="E11" s="452">
        <v>2027</v>
      </c>
      <c r="F11" s="452">
        <v>2028</v>
      </c>
      <c r="G11" s="452">
        <v>2029</v>
      </c>
      <c r="H11" s="452">
        <v>2029</v>
      </c>
      <c r="I11" s="452">
        <v>2030</v>
      </c>
      <c r="J11" s="452"/>
      <c r="K11" s="452"/>
      <c r="L11" s="452"/>
      <c r="M11" s="452"/>
      <c r="N11" s="45">
        <f t="shared" si="0"/>
        <v>6</v>
      </c>
      <c r="O11" s="45">
        <f>ProcDataGenPre2012!AU16</f>
        <v>2.85</v>
      </c>
      <c r="P11" s="45">
        <f t="shared" ref="P11:AT11" si="8">COUNTIF($D11:$M11,P$3)*-$O11/$N11+O11</f>
        <v>2.85</v>
      </c>
      <c r="Q11" s="45">
        <f t="shared" si="8"/>
        <v>2.85</v>
      </c>
      <c r="R11" s="45">
        <f t="shared" si="8"/>
        <v>2.85</v>
      </c>
      <c r="S11" s="45">
        <f t="shared" si="8"/>
        <v>2.85</v>
      </c>
      <c r="T11" s="45">
        <f t="shared" si="8"/>
        <v>2.85</v>
      </c>
      <c r="U11" s="45">
        <f t="shared" si="8"/>
        <v>2.85</v>
      </c>
      <c r="V11" s="45">
        <f t="shared" si="8"/>
        <v>2.375</v>
      </c>
      <c r="W11" s="45">
        <f t="shared" si="8"/>
        <v>1.9</v>
      </c>
      <c r="X11" s="45">
        <f t="shared" si="8"/>
        <v>1.4249999999999998</v>
      </c>
      <c r="Y11" s="45">
        <f t="shared" si="8"/>
        <v>0.47499999999999976</v>
      </c>
      <c r="Z11" s="45">
        <f t="shared" si="8"/>
        <v>0</v>
      </c>
      <c r="AA11" s="45">
        <f t="shared" si="8"/>
        <v>0</v>
      </c>
      <c r="AB11" s="45">
        <f t="shared" si="8"/>
        <v>0</v>
      </c>
      <c r="AC11" s="45">
        <f t="shared" si="8"/>
        <v>0</v>
      </c>
      <c r="AD11" s="45">
        <f t="shared" si="8"/>
        <v>0</v>
      </c>
      <c r="AE11" s="45">
        <f t="shared" si="8"/>
        <v>0</v>
      </c>
      <c r="AF11" s="45">
        <f t="shared" si="8"/>
        <v>0</v>
      </c>
      <c r="AG11" s="45">
        <f t="shared" si="8"/>
        <v>0</v>
      </c>
      <c r="AH11" s="45">
        <f t="shared" si="8"/>
        <v>0</v>
      </c>
      <c r="AI11" s="45">
        <f t="shared" si="8"/>
        <v>0</v>
      </c>
      <c r="AJ11" s="45">
        <f t="shared" si="8"/>
        <v>0</v>
      </c>
      <c r="AK11" s="45">
        <f t="shared" si="8"/>
        <v>0</v>
      </c>
      <c r="AL11" s="45">
        <f t="shared" si="8"/>
        <v>0</v>
      </c>
      <c r="AM11" s="45">
        <f t="shared" si="8"/>
        <v>0</v>
      </c>
      <c r="AN11" s="45">
        <f t="shared" si="8"/>
        <v>0</v>
      </c>
      <c r="AO11" s="45">
        <f t="shared" si="8"/>
        <v>0</v>
      </c>
      <c r="AP11" s="45">
        <f t="shared" si="8"/>
        <v>0</v>
      </c>
      <c r="AQ11" s="45">
        <f t="shared" si="8"/>
        <v>0</v>
      </c>
      <c r="AR11" s="45">
        <f t="shared" si="8"/>
        <v>0</v>
      </c>
      <c r="AS11" s="45">
        <f t="shared" si="8"/>
        <v>0</v>
      </c>
      <c r="AT11" s="45">
        <f t="shared" si="8"/>
        <v>0</v>
      </c>
    </row>
    <row r="12" spans="1:46" ht="15.75" x14ac:dyDescent="0.25">
      <c r="A12" s="30" t="s">
        <v>291</v>
      </c>
      <c r="C12" s="45" t="s">
        <v>441</v>
      </c>
      <c r="D12" s="452">
        <v>2036</v>
      </c>
      <c r="E12" s="452">
        <v>2037</v>
      </c>
      <c r="F12" s="452">
        <v>2037</v>
      </c>
      <c r="G12" s="452">
        <v>2038</v>
      </c>
      <c r="H12" s="452">
        <v>2040</v>
      </c>
      <c r="I12" s="452">
        <v>2041</v>
      </c>
      <c r="J12" s="452"/>
      <c r="K12" s="452"/>
      <c r="L12" s="452"/>
      <c r="M12" s="452"/>
      <c r="N12" s="45">
        <f t="shared" si="0"/>
        <v>6</v>
      </c>
      <c r="O12" s="45">
        <f>ProcDataGenPre2012!AU17</f>
        <v>3.5579999999999998</v>
      </c>
      <c r="P12" s="45">
        <f t="shared" ref="P12:AT12" si="9">COUNTIF($D12:$M12,P$3)*-$O12/$N12+O12</f>
        <v>3.5579999999999998</v>
      </c>
      <c r="Q12" s="45">
        <f t="shared" si="9"/>
        <v>3.5579999999999998</v>
      </c>
      <c r="R12" s="45">
        <f t="shared" si="9"/>
        <v>3.5579999999999998</v>
      </c>
      <c r="S12" s="45">
        <f t="shared" si="9"/>
        <v>3.5579999999999998</v>
      </c>
      <c r="T12" s="45">
        <f t="shared" si="9"/>
        <v>3.5579999999999998</v>
      </c>
      <c r="U12" s="45">
        <f t="shared" si="9"/>
        <v>3.5579999999999998</v>
      </c>
      <c r="V12" s="45">
        <f t="shared" si="9"/>
        <v>3.5579999999999998</v>
      </c>
      <c r="W12" s="45">
        <f t="shared" si="9"/>
        <v>3.5579999999999998</v>
      </c>
      <c r="X12" s="45">
        <f t="shared" si="9"/>
        <v>3.5579999999999998</v>
      </c>
      <c r="Y12" s="45">
        <f t="shared" si="9"/>
        <v>3.5579999999999998</v>
      </c>
      <c r="Z12" s="45">
        <f t="shared" si="9"/>
        <v>3.5579999999999998</v>
      </c>
      <c r="AA12" s="45">
        <f t="shared" si="9"/>
        <v>3.5579999999999998</v>
      </c>
      <c r="AB12" s="45">
        <f t="shared" si="9"/>
        <v>3.5579999999999998</v>
      </c>
      <c r="AC12" s="45">
        <f t="shared" si="9"/>
        <v>3.5579999999999998</v>
      </c>
      <c r="AD12" s="45">
        <f t="shared" si="9"/>
        <v>3.5579999999999998</v>
      </c>
      <c r="AE12" s="45">
        <f t="shared" si="9"/>
        <v>3.5579999999999998</v>
      </c>
      <c r="AF12" s="45">
        <f t="shared" si="9"/>
        <v>2.9649999999999999</v>
      </c>
      <c r="AG12" s="45">
        <f t="shared" si="9"/>
        <v>1.7789999999999999</v>
      </c>
      <c r="AH12" s="45">
        <f t="shared" si="9"/>
        <v>1.1859999999999999</v>
      </c>
      <c r="AI12" s="45">
        <f t="shared" si="9"/>
        <v>1.1859999999999999</v>
      </c>
      <c r="AJ12" s="45">
        <f t="shared" si="9"/>
        <v>0.59299999999999997</v>
      </c>
      <c r="AK12" s="45">
        <f t="shared" si="9"/>
        <v>0</v>
      </c>
      <c r="AL12" s="45">
        <f t="shared" si="9"/>
        <v>0</v>
      </c>
      <c r="AM12" s="45">
        <f t="shared" si="9"/>
        <v>0</v>
      </c>
      <c r="AN12" s="45">
        <f t="shared" si="9"/>
        <v>0</v>
      </c>
      <c r="AO12" s="45">
        <f t="shared" si="9"/>
        <v>0</v>
      </c>
      <c r="AP12" s="45">
        <f t="shared" si="9"/>
        <v>0</v>
      </c>
      <c r="AQ12" s="45">
        <f t="shared" si="9"/>
        <v>0</v>
      </c>
      <c r="AR12" s="45">
        <f t="shared" si="9"/>
        <v>0</v>
      </c>
      <c r="AS12" s="45">
        <f t="shared" si="9"/>
        <v>0</v>
      </c>
      <c r="AT12" s="45">
        <f t="shared" si="9"/>
        <v>0</v>
      </c>
    </row>
    <row r="13" spans="1:46" ht="15.75" x14ac:dyDescent="0.25">
      <c r="A13" s="30" t="s">
        <v>289</v>
      </c>
      <c r="C13" s="45" t="s">
        <v>407</v>
      </c>
      <c r="D13" s="452">
        <v>2046</v>
      </c>
      <c r="E13" s="452">
        <v>2047</v>
      </c>
      <c r="F13" s="452">
        <v>2048</v>
      </c>
      <c r="G13" s="452"/>
      <c r="H13" s="452"/>
      <c r="I13" s="452"/>
      <c r="J13" s="452"/>
      <c r="K13" s="452"/>
      <c r="L13" s="452"/>
      <c r="M13" s="452"/>
      <c r="N13" s="45">
        <f t="shared" si="0"/>
        <v>3</v>
      </c>
      <c r="O13" s="45">
        <f>ProcDataGenPre2012!AU18</f>
        <v>1.8330000000000002</v>
      </c>
      <c r="P13" s="45">
        <f t="shared" ref="P13:AT13" si="10">COUNTIF($D13:$M13,P$3)*-$O13/$N13+O13</f>
        <v>1.8330000000000002</v>
      </c>
      <c r="Q13" s="45">
        <f t="shared" si="10"/>
        <v>1.8330000000000002</v>
      </c>
      <c r="R13" s="45">
        <f t="shared" si="10"/>
        <v>1.8330000000000002</v>
      </c>
      <c r="S13" s="45">
        <f t="shared" si="10"/>
        <v>1.8330000000000002</v>
      </c>
      <c r="T13" s="45">
        <f t="shared" si="10"/>
        <v>1.8330000000000002</v>
      </c>
      <c r="U13" s="45">
        <f t="shared" si="10"/>
        <v>1.8330000000000002</v>
      </c>
      <c r="V13" s="45">
        <f t="shared" si="10"/>
        <v>1.8330000000000002</v>
      </c>
      <c r="W13" s="45">
        <f t="shared" si="10"/>
        <v>1.8330000000000002</v>
      </c>
      <c r="X13" s="45">
        <f t="shared" si="10"/>
        <v>1.8330000000000002</v>
      </c>
      <c r="Y13" s="45">
        <f t="shared" si="10"/>
        <v>1.8330000000000002</v>
      </c>
      <c r="Z13" s="45">
        <f t="shared" si="10"/>
        <v>1.8330000000000002</v>
      </c>
      <c r="AA13" s="45">
        <f t="shared" si="10"/>
        <v>1.8330000000000002</v>
      </c>
      <c r="AB13" s="45">
        <f t="shared" si="10"/>
        <v>1.8330000000000002</v>
      </c>
      <c r="AC13" s="45">
        <f t="shared" si="10"/>
        <v>1.8330000000000002</v>
      </c>
      <c r="AD13" s="45">
        <f t="shared" si="10"/>
        <v>1.8330000000000002</v>
      </c>
      <c r="AE13" s="45">
        <f t="shared" si="10"/>
        <v>1.8330000000000002</v>
      </c>
      <c r="AF13" s="45">
        <f t="shared" si="10"/>
        <v>1.8330000000000002</v>
      </c>
      <c r="AG13" s="45">
        <f t="shared" si="10"/>
        <v>1.8330000000000002</v>
      </c>
      <c r="AH13" s="45">
        <f t="shared" si="10"/>
        <v>1.8330000000000002</v>
      </c>
      <c r="AI13" s="45">
        <f t="shared" si="10"/>
        <v>1.8330000000000002</v>
      </c>
      <c r="AJ13" s="45">
        <f t="shared" si="10"/>
        <v>1.8330000000000002</v>
      </c>
      <c r="AK13" s="45">
        <f t="shared" si="10"/>
        <v>1.8330000000000002</v>
      </c>
      <c r="AL13" s="45">
        <f t="shared" si="10"/>
        <v>1.8330000000000002</v>
      </c>
      <c r="AM13" s="45">
        <f t="shared" si="10"/>
        <v>1.8330000000000002</v>
      </c>
      <c r="AN13" s="45">
        <f t="shared" si="10"/>
        <v>1.8330000000000002</v>
      </c>
      <c r="AO13" s="45">
        <f t="shared" si="10"/>
        <v>1.8330000000000002</v>
      </c>
      <c r="AP13" s="45">
        <f t="shared" si="10"/>
        <v>1.222</v>
      </c>
      <c r="AQ13" s="45">
        <f t="shared" si="10"/>
        <v>0.61099999999999988</v>
      </c>
      <c r="AR13" s="45">
        <f t="shared" si="10"/>
        <v>0</v>
      </c>
      <c r="AS13" s="45">
        <f t="shared" si="10"/>
        <v>0</v>
      </c>
      <c r="AT13" s="45">
        <f t="shared" si="10"/>
        <v>0</v>
      </c>
    </row>
    <row r="14" spans="1:46" ht="15.75" x14ac:dyDescent="0.25">
      <c r="A14" s="30" t="s">
        <v>287</v>
      </c>
      <c r="D14" s="452"/>
      <c r="E14" s="452"/>
      <c r="F14" s="452"/>
      <c r="G14" s="452">
        <v>2049</v>
      </c>
      <c r="H14" s="452">
        <v>2050</v>
      </c>
      <c r="I14" s="452">
        <v>2051</v>
      </c>
      <c r="J14" s="452"/>
      <c r="K14" s="452"/>
      <c r="L14" s="452"/>
      <c r="M14" s="452"/>
      <c r="N14" s="45">
        <f t="shared" si="0"/>
        <v>3</v>
      </c>
      <c r="O14" s="45">
        <f>ProcDataGenPre2012!AU19</f>
        <v>2.0099999999999998</v>
      </c>
      <c r="P14" s="45">
        <f t="shared" ref="P14:AT14" si="11">COUNTIF($D14:$M14,P$3)*-$O14/$N14+O14</f>
        <v>2.0099999999999998</v>
      </c>
      <c r="Q14" s="45">
        <f t="shared" si="11"/>
        <v>2.0099999999999998</v>
      </c>
      <c r="R14" s="45">
        <f t="shared" si="11"/>
        <v>2.0099999999999998</v>
      </c>
      <c r="S14" s="45">
        <f t="shared" si="11"/>
        <v>2.0099999999999998</v>
      </c>
      <c r="T14" s="45">
        <f t="shared" si="11"/>
        <v>2.0099999999999998</v>
      </c>
      <c r="U14" s="45">
        <f t="shared" si="11"/>
        <v>2.0099999999999998</v>
      </c>
      <c r="V14" s="45">
        <f t="shared" si="11"/>
        <v>2.0099999999999998</v>
      </c>
      <c r="W14" s="45">
        <f t="shared" si="11"/>
        <v>2.0099999999999998</v>
      </c>
      <c r="X14" s="45">
        <f t="shared" si="11"/>
        <v>2.0099999999999998</v>
      </c>
      <c r="Y14" s="45">
        <f t="shared" si="11"/>
        <v>2.0099999999999998</v>
      </c>
      <c r="Z14" s="45">
        <f t="shared" si="11"/>
        <v>2.0099999999999998</v>
      </c>
      <c r="AA14" s="45">
        <f t="shared" si="11"/>
        <v>2.0099999999999998</v>
      </c>
      <c r="AB14" s="45">
        <f t="shared" si="11"/>
        <v>2.0099999999999998</v>
      </c>
      <c r="AC14" s="45">
        <f t="shared" si="11"/>
        <v>2.0099999999999998</v>
      </c>
      <c r="AD14" s="45">
        <f t="shared" si="11"/>
        <v>2.0099999999999998</v>
      </c>
      <c r="AE14" s="45">
        <f t="shared" si="11"/>
        <v>2.0099999999999998</v>
      </c>
      <c r="AF14" s="45">
        <f t="shared" si="11"/>
        <v>2.0099999999999998</v>
      </c>
      <c r="AG14" s="45">
        <f t="shared" si="11"/>
        <v>2.0099999999999998</v>
      </c>
      <c r="AH14" s="45">
        <f t="shared" si="11"/>
        <v>2.0099999999999998</v>
      </c>
      <c r="AI14" s="45">
        <f t="shared" si="11"/>
        <v>2.0099999999999998</v>
      </c>
      <c r="AJ14" s="45">
        <f t="shared" si="11"/>
        <v>2.0099999999999998</v>
      </c>
      <c r="AK14" s="45">
        <f t="shared" si="11"/>
        <v>2.0099999999999998</v>
      </c>
      <c r="AL14" s="45">
        <f t="shared" si="11"/>
        <v>2.0099999999999998</v>
      </c>
      <c r="AM14" s="45">
        <f t="shared" si="11"/>
        <v>2.0099999999999998</v>
      </c>
      <c r="AN14" s="45">
        <f t="shared" si="11"/>
        <v>2.0099999999999998</v>
      </c>
      <c r="AO14" s="45">
        <f t="shared" si="11"/>
        <v>2.0099999999999998</v>
      </c>
      <c r="AP14" s="45">
        <f t="shared" si="11"/>
        <v>2.0099999999999998</v>
      </c>
      <c r="AQ14" s="45">
        <f t="shared" si="11"/>
        <v>2.0099999999999998</v>
      </c>
      <c r="AR14" s="45">
        <f t="shared" si="11"/>
        <v>2.0099999999999998</v>
      </c>
      <c r="AS14" s="45">
        <f t="shared" si="11"/>
        <v>1.3399999999999999</v>
      </c>
      <c r="AT14" s="45">
        <f t="shared" si="11"/>
        <v>0.66999999999999993</v>
      </c>
    </row>
    <row r="15" spans="1:46" ht="15.75" x14ac:dyDescent="0.25">
      <c r="A15" s="30" t="s">
        <v>285</v>
      </c>
      <c r="C15" s="45" t="s">
        <v>434</v>
      </c>
      <c r="D15" s="452">
        <v>2038</v>
      </c>
      <c r="E15" s="452">
        <v>2038</v>
      </c>
      <c r="F15" s="452">
        <v>2039</v>
      </c>
      <c r="G15" s="452">
        <v>2040</v>
      </c>
      <c r="H15" s="452">
        <v>2041</v>
      </c>
      <c r="I15" s="452">
        <v>2042</v>
      </c>
      <c r="J15" s="452"/>
      <c r="K15" s="452"/>
      <c r="L15" s="452"/>
      <c r="M15" s="452"/>
      <c r="N15" s="45">
        <f t="shared" si="0"/>
        <v>6</v>
      </c>
      <c r="O15" s="45">
        <f>ProcDataGenPre2012!AU20</f>
        <v>3.69</v>
      </c>
      <c r="P15" s="45">
        <f t="shared" ref="P15:AT15" si="12">COUNTIF($D15:$M15,P$3)*-$O15/$N15+O15</f>
        <v>3.69</v>
      </c>
      <c r="Q15" s="45">
        <f t="shared" si="12"/>
        <v>3.69</v>
      </c>
      <c r="R15" s="45">
        <f t="shared" si="12"/>
        <v>3.69</v>
      </c>
      <c r="S15" s="45">
        <f t="shared" si="12"/>
        <v>3.69</v>
      </c>
      <c r="T15" s="45">
        <f t="shared" si="12"/>
        <v>3.69</v>
      </c>
      <c r="U15" s="45">
        <f t="shared" si="12"/>
        <v>3.69</v>
      </c>
      <c r="V15" s="45">
        <f t="shared" si="12"/>
        <v>3.69</v>
      </c>
      <c r="W15" s="45">
        <f t="shared" si="12"/>
        <v>3.69</v>
      </c>
      <c r="X15" s="45">
        <f t="shared" si="12"/>
        <v>3.69</v>
      </c>
      <c r="Y15" s="45">
        <f t="shared" si="12"/>
        <v>3.69</v>
      </c>
      <c r="Z15" s="45">
        <f t="shared" si="12"/>
        <v>3.69</v>
      </c>
      <c r="AA15" s="45">
        <f t="shared" si="12"/>
        <v>3.69</v>
      </c>
      <c r="AB15" s="45">
        <f t="shared" si="12"/>
        <v>3.69</v>
      </c>
      <c r="AC15" s="45">
        <f t="shared" si="12"/>
        <v>3.69</v>
      </c>
      <c r="AD15" s="45">
        <f t="shared" si="12"/>
        <v>3.69</v>
      </c>
      <c r="AE15" s="45">
        <f t="shared" si="12"/>
        <v>3.69</v>
      </c>
      <c r="AF15" s="45">
        <f t="shared" si="12"/>
        <v>3.69</v>
      </c>
      <c r="AG15" s="45">
        <f t="shared" si="12"/>
        <v>3.69</v>
      </c>
      <c r="AH15" s="45">
        <f t="shared" si="12"/>
        <v>2.46</v>
      </c>
      <c r="AI15" s="45">
        <f t="shared" si="12"/>
        <v>1.845</v>
      </c>
      <c r="AJ15" s="45">
        <f t="shared" si="12"/>
        <v>1.23</v>
      </c>
      <c r="AK15" s="45">
        <f t="shared" si="12"/>
        <v>0.61499999999999999</v>
      </c>
      <c r="AL15" s="45">
        <f t="shared" si="12"/>
        <v>0</v>
      </c>
      <c r="AM15" s="45">
        <f t="shared" si="12"/>
        <v>0</v>
      </c>
      <c r="AN15" s="45">
        <f t="shared" si="12"/>
        <v>0</v>
      </c>
      <c r="AO15" s="45">
        <f t="shared" si="12"/>
        <v>0</v>
      </c>
      <c r="AP15" s="45">
        <f t="shared" si="12"/>
        <v>0</v>
      </c>
      <c r="AQ15" s="45">
        <f t="shared" si="12"/>
        <v>0</v>
      </c>
      <c r="AR15" s="45">
        <f t="shared" si="12"/>
        <v>0</v>
      </c>
      <c r="AS15" s="45">
        <f t="shared" si="12"/>
        <v>0</v>
      </c>
      <c r="AT15" s="45">
        <f t="shared" si="12"/>
        <v>0</v>
      </c>
    </row>
    <row r="16" spans="1:46" ht="15.75" x14ac:dyDescent="0.25">
      <c r="A16" s="30" t="s">
        <v>283</v>
      </c>
      <c r="C16" s="45" t="s">
        <v>413</v>
      </c>
      <c r="D16" s="452">
        <v>2030</v>
      </c>
      <c r="E16" s="452">
        <v>2031</v>
      </c>
      <c r="F16" s="452">
        <v>2031</v>
      </c>
      <c r="G16" s="452">
        <v>2032</v>
      </c>
      <c r="H16" s="452">
        <v>2033</v>
      </c>
      <c r="I16" s="452">
        <v>2034</v>
      </c>
      <c r="J16" s="452"/>
      <c r="K16" s="452"/>
      <c r="L16" s="452"/>
      <c r="M16" s="452"/>
      <c r="N16" s="45">
        <f t="shared" si="0"/>
        <v>6</v>
      </c>
      <c r="O16" s="45">
        <f>ProcDataGenPre2012!AU21</f>
        <v>3.45</v>
      </c>
      <c r="P16" s="45">
        <f t="shared" ref="P16:AT16" si="13">COUNTIF($D16:$M16,P$3)*-$O16/$N16+O16</f>
        <v>3.45</v>
      </c>
      <c r="Q16" s="45">
        <f t="shared" si="13"/>
        <v>3.45</v>
      </c>
      <c r="R16" s="45">
        <f t="shared" si="13"/>
        <v>3.45</v>
      </c>
      <c r="S16" s="45">
        <f t="shared" si="13"/>
        <v>3.45</v>
      </c>
      <c r="T16" s="45">
        <f t="shared" si="13"/>
        <v>3.45</v>
      </c>
      <c r="U16" s="45">
        <f t="shared" si="13"/>
        <v>3.45</v>
      </c>
      <c r="V16" s="45">
        <f t="shared" si="13"/>
        <v>3.45</v>
      </c>
      <c r="W16" s="45">
        <f t="shared" si="13"/>
        <v>3.45</v>
      </c>
      <c r="X16" s="45">
        <f t="shared" si="13"/>
        <v>3.45</v>
      </c>
      <c r="Y16" s="45">
        <f t="shared" si="13"/>
        <v>3.45</v>
      </c>
      <c r="Z16" s="45">
        <f t="shared" si="13"/>
        <v>2.875</v>
      </c>
      <c r="AA16" s="45">
        <f t="shared" si="13"/>
        <v>1.7249999999999999</v>
      </c>
      <c r="AB16" s="45">
        <f t="shared" si="13"/>
        <v>1.1499999999999999</v>
      </c>
      <c r="AC16" s="45">
        <f t="shared" si="13"/>
        <v>0.57499999999999984</v>
      </c>
      <c r="AD16" s="45">
        <f t="shared" si="13"/>
        <v>0</v>
      </c>
      <c r="AE16" s="45">
        <f t="shared" si="13"/>
        <v>0</v>
      </c>
      <c r="AF16" s="45">
        <f t="shared" si="13"/>
        <v>0</v>
      </c>
      <c r="AG16" s="45">
        <f t="shared" si="13"/>
        <v>0</v>
      </c>
      <c r="AH16" s="45">
        <f t="shared" si="13"/>
        <v>0</v>
      </c>
      <c r="AI16" s="45">
        <f t="shared" si="13"/>
        <v>0</v>
      </c>
      <c r="AJ16" s="45">
        <f t="shared" si="13"/>
        <v>0</v>
      </c>
      <c r="AK16" s="45">
        <f t="shared" si="13"/>
        <v>0</v>
      </c>
      <c r="AL16" s="45">
        <f t="shared" si="13"/>
        <v>0</v>
      </c>
      <c r="AM16" s="45">
        <f t="shared" si="13"/>
        <v>0</v>
      </c>
      <c r="AN16" s="45">
        <f t="shared" si="13"/>
        <v>0</v>
      </c>
      <c r="AO16" s="45">
        <f t="shared" si="13"/>
        <v>0</v>
      </c>
      <c r="AP16" s="45">
        <f t="shared" si="13"/>
        <v>0</v>
      </c>
      <c r="AQ16" s="45">
        <f t="shared" si="13"/>
        <v>0</v>
      </c>
      <c r="AR16" s="45">
        <f t="shared" si="13"/>
        <v>0</v>
      </c>
      <c r="AS16" s="45">
        <f t="shared" si="13"/>
        <v>0</v>
      </c>
      <c r="AT16" s="45">
        <f t="shared" si="13"/>
        <v>0</v>
      </c>
    </row>
    <row r="17" spans="1:46" ht="15.75" x14ac:dyDescent="0.25">
      <c r="A17" s="30" t="s">
        <v>281</v>
      </c>
      <c r="C17" s="45" t="s">
        <v>418</v>
      </c>
      <c r="D17" s="452">
        <v>2030</v>
      </c>
      <c r="E17" s="452">
        <v>2030</v>
      </c>
      <c r="F17" s="452">
        <v>2030</v>
      </c>
      <c r="G17" s="452">
        <v>2030</v>
      </c>
      <c r="H17" s="452">
        <v>2030</v>
      </c>
      <c r="I17" s="452">
        <v>2030</v>
      </c>
      <c r="J17" s="452"/>
      <c r="K17" s="452"/>
      <c r="L17" s="452"/>
      <c r="M17" s="452"/>
      <c r="N17" s="45">
        <f t="shared" si="0"/>
        <v>6</v>
      </c>
      <c r="O17" s="45">
        <f>ProcDataGenPre2012!AU22</f>
        <v>3.51</v>
      </c>
      <c r="P17" s="45">
        <f t="shared" ref="P17:AT17" si="14">COUNTIF($D17:$M17,P$3)*-$O17/$N17+O17</f>
        <v>3.51</v>
      </c>
      <c r="Q17" s="45">
        <f t="shared" si="14"/>
        <v>3.51</v>
      </c>
      <c r="R17" s="45">
        <f t="shared" si="14"/>
        <v>3.51</v>
      </c>
      <c r="S17" s="45">
        <f t="shared" si="14"/>
        <v>3.51</v>
      </c>
      <c r="T17" s="45">
        <f t="shared" si="14"/>
        <v>3.51</v>
      </c>
      <c r="U17" s="45">
        <f t="shared" si="14"/>
        <v>3.51</v>
      </c>
      <c r="V17" s="45">
        <f t="shared" si="14"/>
        <v>3.51</v>
      </c>
      <c r="W17" s="45">
        <f t="shared" si="14"/>
        <v>3.51</v>
      </c>
      <c r="X17" s="45">
        <f t="shared" si="14"/>
        <v>3.51</v>
      </c>
      <c r="Y17" s="45">
        <f t="shared" si="14"/>
        <v>3.51</v>
      </c>
      <c r="Z17" s="45">
        <f t="shared" si="14"/>
        <v>0</v>
      </c>
      <c r="AA17" s="45">
        <f t="shared" si="14"/>
        <v>0</v>
      </c>
      <c r="AB17" s="45">
        <f t="shared" si="14"/>
        <v>0</v>
      </c>
      <c r="AC17" s="45">
        <f t="shared" si="14"/>
        <v>0</v>
      </c>
      <c r="AD17" s="45">
        <f t="shared" si="14"/>
        <v>0</v>
      </c>
      <c r="AE17" s="45">
        <f t="shared" si="14"/>
        <v>0</v>
      </c>
      <c r="AF17" s="45">
        <f t="shared" si="14"/>
        <v>0</v>
      </c>
      <c r="AG17" s="45">
        <f t="shared" si="14"/>
        <v>0</v>
      </c>
      <c r="AH17" s="45">
        <f t="shared" si="14"/>
        <v>0</v>
      </c>
      <c r="AI17" s="45">
        <f t="shared" si="14"/>
        <v>0</v>
      </c>
      <c r="AJ17" s="45">
        <f t="shared" si="14"/>
        <v>0</v>
      </c>
      <c r="AK17" s="45">
        <f t="shared" si="14"/>
        <v>0</v>
      </c>
      <c r="AL17" s="45">
        <f t="shared" si="14"/>
        <v>0</v>
      </c>
      <c r="AM17" s="45">
        <f t="shared" si="14"/>
        <v>0</v>
      </c>
      <c r="AN17" s="45">
        <f t="shared" si="14"/>
        <v>0</v>
      </c>
      <c r="AO17" s="45">
        <f t="shared" si="14"/>
        <v>0</v>
      </c>
      <c r="AP17" s="45">
        <f t="shared" si="14"/>
        <v>0</v>
      </c>
      <c r="AQ17" s="45">
        <f t="shared" si="14"/>
        <v>0</v>
      </c>
      <c r="AR17" s="45">
        <f t="shared" si="14"/>
        <v>0</v>
      </c>
      <c r="AS17" s="45">
        <f t="shared" si="14"/>
        <v>0</v>
      </c>
      <c r="AT17" s="45">
        <f t="shared" si="14"/>
        <v>0</v>
      </c>
    </row>
    <row r="18" spans="1:46" ht="15.75" x14ac:dyDescent="0.25">
      <c r="A18" s="30" t="s">
        <v>261</v>
      </c>
      <c r="C18" s="45" t="s">
        <v>426</v>
      </c>
      <c r="D18" s="452">
        <v>2071</v>
      </c>
      <c r="E18" s="452">
        <v>2069</v>
      </c>
      <c r="F18" s="452">
        <v>2068</v>
      </c>
      <c r="G18" s="452">
        <v>2067</v>
      </c>
      <c r="H18" s="452">
        <v>2067</v>
      </c>
      <c r="I18" s="452">
        <v>2065</v>
      </c>
      <c r="J18" s="452"/>
      <c r="K18" s="452"/>
      <c r="L18" s="452"/>
      <c r="M18" s="452" t="s">
        <v>2243</v>
      </c>
      <c r="N18" s="45">
        <v>6</v>
      </c>
      <c r="O18" s="45">
        <f t="shared" ref="O18:AT18" si="15">SUM(O4:O17)</f>
        <v>33.601999999999997</v>
      </c>
      <c r="P18" s="45">
        <f t="shared" si="15"/>
        <v>33.396999999999998</v>
      </c>
      <c r="Q18" s="45">
        <f t="shared" si="15"/>
        <v>33.109785714285707</v>
      </c>
      <c r="R18" s="45">
        <f t="shared" si="15"/>
        <v>33.007285714285707</v>
      </c>
      <c r="S18" s="45">
        <f t="shared" si="15"/>
        <v>32.822571428571422</v>
      </c>
      <c r="T18" s="45">
        <f t="shared" si="15"/>
        <v>32.21471428571428</v>
      </c>
      <c r="U18" s="45">
        <f t="shared" si="15"/>
        <v>31.052714285714281</v>
      </c>
      <c r="V18" s="45">
        <f t="shared" si="15"/>
        <v>29.009</v>
      </c>
      <c r="W18" s="45">
        <f t="shared" si="15"/>
        <v>27.6</v>
      </c>
      <c r="X18" s="45">
        <f t="shared" si="15"/>
        <v>26.935000000000002</v>
      </c>
      <c r="Y18" s="45">
        <f t="shared" si="15"/>
        <v>25.241</v>
      </c>
      <c r="Z18" s="45">
        <f t="shared" si="15"/>
        <v>20.681000000000001</v>
      </c>
      <c r="AA18" s="45">
        <f t="shared" si="15"/>
        <v>18.381</v>
      </c>
      <c r="AB18" s="45">
        <f t="shared" si="15"/>
        <v>17.805999999999997</v>
      </c>
      <c r="AC18" s="45">
        <f t="shared" si="15"/>
        <v>16.081</v>
      </c>
      <c r="AD18" s="45">
        <f t="shared" si="15"/>
        <v>14.930999999999999</v>
      </c>
      <c r="AE18" s="45">
        <f t="shared" si="15"/>
        <v>14.930999999999999</v>
      </c>
      <c r="AF18" s="45">
        <f t="shared" si="15"/>
        <v>14.337999999999999</v>
      </c>
      <c r="AG18" s="45">
        <f t="shared" si="15"/>
        <v>13.151999999999999</v>
      </c>
      <c r="AH18" s="45">
        <f t="shared" si="15"/>
        <v>11.329000000000001</v>
      </c>
      <c r="AI18" s="45">
        <f t="shared" si="15"/>
        <v>10.074</v>
      </c>
      <c r="AJ18" s="45">
        <f t="shared" si="15"/>
        <v>8.8659999999999997</v>
      </c>
      <c r="AK18" s="45">
        <f t="shared" si="15"/>
        <v>7.0179999999999998</v>
      </c>
      <c r="AL18" s="45">
        <f t="shared" si="15"/>
        <v>5.1229999999999993</v>
      </c>
      <c r="AM18" s="45">
        <f t="shared" si="15"/>
        <v>4.4829999999999997</v>
      </c>
      <c r="AN18" s="45">
        <f t="shared" si="15"/>
        <v>3.843</v>
      </c>
      <c r="AO18" s="45">
        <f t="shared" si="15"/>
        <v>3.843</v>
      </c>
      <c r="AP18" s="45">
        <f t="shared" si="15"/>
        <v>3.2319999999999998</v>
      </c>
      <c r="AQ18" s="45">
        <f t="shared" si="15"/>
        <v>2.6209999999999996</v>
      </c>
      <c r="AR18" s="45">
        <f t="shared" si="15"/>
        <v>2.0099999999999998</v>
      </c>
      <c r="AS18" s="45">
        <f t="shared" si="15"/>
        <v>1.3399999999999999</v>
      </c>
      <c r="AT18" s="45">
        <f t="shared" si="15"/>
        <v>0.66999999999999993</v>
      </c>
    </row>
    <row r="19" spans="1:46" ht="15.75" x14ac:dyDescent="0.25">
      <c r="A19" s="30" t="s">
        <v>259</v>
      </c>
      <c r="C19" s="45" t="s">
        <v>513</v>
      </c>
      <c r="D19" s="452">
        <v>2068</v>
      </c>
      <c r="E19" s="452">
        <v>2070</v>
      </c>
      <c r="F19" s="452">
        <v>2071</v>
      </c>
      <c r="G19" s="452">
        <v>2072</v>
      </c>
      <c r="H19" s="452">
        <v>2072</v>
      </c>
      <c r="I19" s="452">
        <v>2073</v>
      </c>
      <c r="J19" s="452"/>
      <c r="K19" s="452"/>
      <c r="L19" s="452"/>
      <c r="M19" s="452" t="s">
        <v>2243</v>
      </c>
      <c r="N19" s="45">
        <v>6</v>
      </c>
      <c r="P19" s="97">
        <f>P18-O18</f>
        <v>-0.20499999999999829</v>
      </c>
      <c r="Q19" s="97">
        <f t="shared" ref="Q19:AT19" si="16">Q18-P18</f>
        <v>-0.28721428571429186</v>
      </c>
      <c r="R19" s="97">
        <f t="shared" si="16"/>
        <v>-0.10249999999999915</v>
      </c>
      <c r="S19" s="97">
        <f t="shared" si="16"/>
        <v>-0.18471428571428561</v>
      </c>
      <c r="T19" s="97">
        <f t="shared" si="16"/>
        <v>-0.60785714285714221</v>
      </c>
      <c r="U19" s="97">
        <f t="shared" si="16"/>
        <v>-1.161999999999999</v>
      </c>
      <c r="V19" s="97">
        <f t="shared" si="16"/>
        <v>-2.0437142857142803</v>
      </c>
      <c r="W19" s="97">
        <f t="shared" si="16"/>
        <v>-1.4089999999999989</v>
      </c>
      <c r="X19" s="97">
        <f t="shared" si="16"/>
        <v>-0.66499999999999915</v>
      </c>
      <c r="Y19" s="97">
        <f t="shared" si="16"/>
        <v>-1.6940000000000026</v>
      </c>
      <c r="Z19" s="97">
        <f t="shared" si="16"/>
        <v>-4.5599999999999987</v>
      </c>
      <c r="AA19" s="97">
        <f t="shared" si="16"/>
        <v>-2.3000000000000007</v>
      </c>
      <c r="AB19" s="97">
        <f t="shared" si="16"/>
        <v>-0.57500000000000284</v>
      </c>
      <c r="AC19" s="97">
        <f t="shared" si="16"/>
        <v>-1.7249999999999979</v>
      </c>
      <c r="AD19" s="97">
        <f t="shared" si="16"/>
        <v>-1.1500000000000004</v>
      </c>
      <c r="AE19" s="97">
        <f t="shared" si="16"/>
        <v>0</v>
      </c>
      <c r="AF19" s="97">
        <f t="shared" si="16"/>
        <v>-0.59299999999999997</v>
      </c>
      <c r="AG19" s="97">
        <f t="shared" si="16"/>
        <v>-1.1859999999999999</v>
      </c>
      <c r="AH19" s="97">
        <f t="shared" si="16"/>
        <v>-1.8229999999999986</v>
      </c>
      <c r="AI19" s="97">
        <f t="shared" si="16"/>
        <v>-1.2550000000000008</v>
      </c>
      <c r="AJ19" s="97">
        <f t="shared" si="16"/>
        <v>-1.2080000000000002</v>
      </c>
      <c r="AK19" s="97">
        <f t="shared" si="16"/>
        <v>-1.8479999999999999</v>
      </c>
      <c r="AL19" s="97">
        <f t="shared" si="16"/>
        <v>-1.8950000000000005</v>
      </c>
      <c r="AM19" s="97">
        <f t="shared" si="16"/>
        <v>-0.63999999999999968</v>
      </c>
      <c r="AN19" s="97">
        <f t="shared" si="16"/>
        <v>-0.63999999999999968</v>
      </c>
      <c r="AO19" s="97">
        <f t="shared" si="16"/>
        <v>0</v>
      </c>
      <c r="AP19" s="97">
        <f t="shared" si="16"/>
        <v>-0.61100000000000021</v>
      </c>
      <c r="AQ19" s="97">
        <f t="shared" si="16"/>
        <v>-0.61100000000000021</v>
      </c>
      <c r="AR19" s="97">
        <f t="shared" si="16"/>
        <v>-0.61099999999999977</v>
      </c>
      <c r="AS19" s="97">
        <f t="shared" si="16"/>
        <v>-0.66999999999999993</v>
      </c>
      <c r="AT19" s="97">
        <f t="shared" si="16"/>
        <v>-0.66999999999999993</v>
      </c>
    </row>
    <row r="20" spans="1:46" x14ac:dyDescent="0.2">
      <c r="P20" s="97">
        <f>SUM(P19:Z19)</f>
        <v>-12.920999999999996</v>
      </c>
    </row>
    <row r="21" spans="1:46" x14ac:dyDescent="0.2">
      <c r="B21" s="45" t="s">
        <v>2253</v>
      </c>
      <c r="N21" s="45" t="s">
        <v>2436</v>
      </c>
      <c r="O21" s="97"/>
    </row>
    <row r="22" spans="1:46" x14ac:dyDescent="0.2">
      <c r="O22" s="97"/>
    </row>
    <row r="23" spans="1:46" x14ac:dyDescent="0.2">
      <c r="O23" s="97"/>
    </row>
    <row r="24" spans="1:46" x14ac:dyDescent="0.2">
      <c r="O24" s="97"/>
    </row>
    <row r="25" spans="1:46" x14ac:dyDescent="0.2">
      <c r="O25" s="97"/>
    </row>
    <row r="26" spans="1:46" x14ac:dyDescent="0.2">
      <c r="O26" s="97"/>
    </row>
    <row r="27" spans="1:46" x14ac:dyDescent="0.2">
      <c r="O27" s="97"/>
    </row>
    <row r="28" spans="1:46" x14ac:dyDescent="0.2">
      <c r="O28" s="97"/>
    </row>
    <row r="29" spans="1:46" x14ac:dyDescent="0.2">
      <c r="O29" s="97"/>
    </row>
    <row r="30" spans="1:46" x14ac:dyDescent="0.2">
      <c r="O30" s="97"/>
    </row>
    <row r="31" spans="1:46" x14ac:dyDescent="0.2">
      <c r="O31" s="97"/>
    </row>
    <row r="32" spans="1:46" x14ac:dyDescent="0.2">
      <c r="O32" s="97"/>
    </row>
    <row r="33" spans="15:15" x14ac:dyDescent="0.2">
      <c r="O33" s="97"/>
    </row>
    <row r="34" spans="15:15" x14ac:dyDescent="0.2">
      <c r="O34" s="97"/>
    </row>
    <row r="35" spans="15:15" x14ac:dyDescent="0.2">
      <c r="O35" s="97"/>
    </row>
    <row r="36" spans="15:15" x14ac:dyDescent="0.2">
      <c r="O36" s="97"/>
    </row>
    <row r="37" spans="15:15" x14ac:dyDescent="0.2">
      <c r="O37" s="97"/>
    </row>
    <row r="38" spans="15:15" x14ac:dyDescent="0.2">
      <c r="O38" s="97"/>
    </row>
    <row r="39" spans="15:15" x14ac:dyDescent="0.2">
      <c r="O39" s="97"/>
    </row>
    <row r="40" spans="15:15" x14ac:dyDescent="0.2">
      <c r="O40" s="97"/>
    </row>
    <row r="41" spans="15:15" x14ac:dyDescent="0.2">
      <c r="O41" s="97"/>
    </row>
    <row r="42" spans="15:15" x14ac:dyDescent="0.2">
      <c r="O42" s="97"/>
    </row>
    <row r="43" spans="15:15" x14ac:dyDescent="0.2">
      <c r="O43" s="97"/>
    </row>
    <row r="44" spans="15:15" x14ac:dyDescent="0.2">
      <c r="O44" s="97"/>
    </row>
    <row r="45" spans="15:15" x14ac:dyDescent="0.2">
      <c r="O45" s="97"/>
    </row>
    <row r="46" spans="15:15" x14ac:dyDescent="0.2">
      <c r="O46" s="97"/>
    </row>
    <row r="47" spans="15:15" x14ac:dyDescent="0.2">
      <c r="O47" s="97"/>
    </row>
    <row r="48" spans="15:15" x14ac:dyDescent="0.2">
      <c r="O48" s="97"/>
    </row>
    <row r="49" spans="2:15" x14ac:dyDescent="0.2">
      <c r="O49" s="97"/>
    </row>
    <row r="50" spans="2:15" x14ac:dyDescent="0.2">
      <c r="O50" s="97"/>
    </row>
    <row r="51" spans="2:15" x14ac:dyDescent="0.2">
      <c r="O51" s="97"/>
    </row>
    <row r="53" spans="2:15" x14ac:dyDescent="0.2">
      <c r="B53" s="45" t="s">
        <v>715</v>
      </c>
      <c r="C53" s="45" t="s">
        <v>714</v>
      </c>
      <c r="E53" s="156">
        <v>43949</v>
      </c>
    </row>
    <row r="54" spans="2:15" x14ac:dyDescent="0.2">
      <c r="B54" s="45" t="s">
        <v>713</v>
      </c>
    </row>
    <row r="55" spans="2:15" x14ac:dyDescent="0.2">
      <c r="B55" s="45" t="s">
        <v>712</v>
      </c>
      <c r="C55" s="45" t="s">
        <v>711</v>
      </c>
    </row>
    <row r="56" spans="2:15" x14ac:dyDescent="0.2">
      <c r="C56" s="45" t="s">
        <v>710</v>
      </c>
    </row>
    <row r="113" spans="19:21" x14ac:dyDescent="0.2">
      <c r="S113" s="45">
        <v>2019</v>
      </c>
      <c r="T113" s="45">
        <v>2373</v>
      </c>
      <c r="U113" s="45">
        <f>SUM($T113:$T$124)</f>
        <v>11017</v>
      </c>
    </row>
    <row r="114" spans="19:21" x14ac:dyDescent="0.2">
      <c r="S114" s="45">
        <v>2020</v>
      </c>
      <c r="T114" s="45">
        <v>557</v>
      </c>
      <c r="U114" s="45">
        <f>SUM($T114:$T$124)</f>
        <v>8644</v>
      </c>
    </row>
    <row r="115" spans="19:21" x14ac:dyDescent="0.2">
      <c r="S115" s="45">
        <v>2021</v>
      </c>
      <c r="T115" s="45">
        <v>1403</v>
      </c>
      <c r="U115" s="45">
        <f>SUM($T115:$T$124)</f>
        <v>8087</v>
      </c>
    </row>
    <row r="116" spans="19:21" x14ac:dyDescent="0.2">
      <c r="S116" s="45">
        <v>2022</v>
      </c>
      <c r="T116" s="45">
        <v>844</v>
      </c>
      <c r="U116" s="45">
        <f>SUM($T116:$T$124)</f>
        <v>6684</v>
      </c>
    </row>
    <row r="117" spans="19:21" x14ac:dyDescent="0.2">
      <c r="S117" s="45">
        <v>2023</v>
      </c>
      <c r="T117" s="45">
        <v>555</v>
      </c>
      <c r="U117" s="45">
        <f>SUM($T117:$T$124)</f>
        <v>5840</v>
      </c>
    </row>
    <row r="118" spans="19:21" x14ac:dyDescent="0.2">
      <c r="S118" s="45">
        <v>2024</v>
      </c>
      <c r="U118" s="45">
        <f>SUM($T118:$T$124)</f>
        <v>5285</v>
      </c>
    </row>
    <row r="119" spans="19:21" x14ac:dyDescent="0.2">
      <c r="S119" s="45">
        <v>2025</v>
      </c>
      <c r="U119" s="45">
        <f>SUM($T119:$T$124)</f>
        <v>5285</v>
      </c>
    </row>
    <row r="120" spans="19:21" x14ac:dyDescent="0.2">
      <c r="S120" s="45">
        <v>2026</v>
      </c>
      <c r="T120" s="45">
        <v>1219</v>
      </c>
      <c r="U120" s="45">
        <f>SUM($T120:$T$124)</f>
        <v>5285</v>
      </c>
    </row>
    <row r="121" spans="19:21" x14ac:dyDescent="0.2">
      <c r="S121" s="45">
        <v>2027</v>
      </c>
      <c r="T121" s="45">
        <v>847</v>
      </c>
      <c r="U121" s="45">
        <f>SUM($T121:$T$124)</f>
        <v>4066</v>
      </c>
    </row>
    <row r="122" spans="19:21" x14ac:dyDescent="0.2">
      <c r="S122" s="45">
        <v>2028</v>
      </c>
      <c r="T122" s="45">
        <v>475</v>
      </c>
      <c r="U122" s="45">
        <f>SUM($T122:$T$124)</f>
        <v>3219</v>
      </c>
    </row>
    <row r="123" spans="19:21" x14ac:dyDescent="0.2">
      <c r="S123" s="45">
        <v>2029</v>
      </c>
      <c r="T123" s="45">
        <v>1694</v>
      </c>
      <c r="U123" s="45">
        <f>SUM($T123:$T$124)</f>
        <v>2744</v>
      </c>
    </row>
    <row r="124" spans="19:21" x14ac:dyDescent="0.2">
      <c r="S124" s="45">
        <v>2030</v>
      </c>
      <c r="T124" s="45">
        <v>1050</v>
      </c>
      <c r="U124" s="45">
        <f>SUM($T124:$T$124)</f>
        <v>1050</v>
      </c>
    </row>
    <row r="132" spans="4:16" x14ac:dyDescent="0.2">
      <c r="D132" s="45" t="s">
        <v>709</v>
      </c>
    </row>
    <row r="143" spans="4:16" x14ac:dyDescent="0.2">
      <c r="P143" s="45">
        <f>32.6+0.6+0.125</f>
        <v>33.325000000000003</v>
      </c>
    </row>
    <row r="145" spans="16:16" x14ac:dyDescent="0.2">
      <c r="P145" s="45">
        <f>11-6.4</f>
        <v>4.5999999999999996</v>
      </c>
    </row>
    <row r="146" spans="16:16" x14ac:dyDescent="0.2">
      <c r="P146" s="45">
        <f>13.8-6.4+1.5</f>
        <v>8.9</v>
      </c>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7B479-B063-4020-B5E6-7168B17A8837}">
  <sheetPr codeName="Sheet31"/>
  <dimension ref="A1:Q136"/>
  <sheetViews>
    <sheetView workbookViewId="0"/>
  </sheetViews>
  <sheetFormatPr defaultColWidth="8.85546875" defaultRowHeight="15" x14ac:dyDescent="0.25"/>
  <cols>
    <col min="1" max="1" width="21.42578125" style="157" customWidth="1"/>
    <col min="2" max="2" width="47.7109375" style="157" bestFit="1" customWidth="1"/>
    <col min="3" max="3" width="11.85546875" style="157" bestFit="1" customWidth="1"/>
    <col min="4" max="4" width="47" style="157" bestFit="1" customWidth="1"/>
    <col min="5" max="5" width="28.42578125" style="157" bestFit="1" customWidth="1"/>
    <col min="6" max="6" width="21.28515625" style="157" bestFit="1" customWidth="1"/>
    <col min="7" max="7" width="8.28515625" style="157" customWidth="1"/>
    <col min="8" max="8" width="12.85546875" style="157" customWidth="1"/>
    <col min="9" max="9" width="11.42578125" style="157" customWidth="1"/>
    <col min="10" max="10" width="15.42578125" style="157" customWidth="1"/>
    <col min="11" max="12" width="13.42578125" style="157" customWidth="1"/>
    <col min="13" max="13" width="15.140625" style="157" bestFit="1" customWidth="1"/>
    <col min="14" max="14" width="12.42578125" style="157" customWidth="1"/>
    <col min="15" max="15" width="12" style="157" bestFit="1" customWidth="1"/>
    <col min="16" max="256" width="9.140625" style="157"/>
    <col min="257" max="257" width="21.42578125" style="157" customWidth="1"/>
    <col min="258" max="258" width="47.7109375" style="157" bestFit="1" customWidth="1"/>
    <col min="259" max="259" width="11.85546875" style="157" bestFit="1" customWidth="1"/>
    <col min="260" max="260" width="47" style="157" bestFit="1" customWidth="1"/>
    <col min="261" max="261" width="28.42578125" style="157" bestFit="1" customWidth="1"/>
    <col min="262" max="262" width="21.28515625" style="157" bestFit="1" customWidth="1"/>
    <col min="263" max="263" width="8.28515625" style="157" customWidth="1"/>
    <col min="264" max="264" width="12.85546875" style="157" customWidth="1"/>
    <col min="265" max="265" width="11.42578125" style="157" customWidth="1"/>
    <col min="266" max="266" width="15.42578125" style="157" customWidth="1"/>
    <col min="267" max="268" width="13.42578125" style="157" customWidth="1"/>
    <col min="269" max="269" width="15.140625" style="157" bestFit="1" customWidth="1"/>
    <col min="270" max="270" width="12.42578125" style="157" customWidth="1"/>
    <col min="271" max="271" width="12" style="157" bestFit="1" customWidth="1"/>
    <col min="272" max="512" width="9.140625" style="157"/>
    <col min="513" max="513" width="21.42578125" style="157" customWidth="1"/>
    <col min="514" max="514" width="47.7109375" style="157" bestFit="1" customWidth="1"/>
    <col min="515" max="515" width="11.85546875" style="157" bestFit="1" customWidth="1"/>
    <col min="516" max="516" width="47" style="157" bestFit="1" customWidth="1"/>
    <col min="517" max="517" width="28.42578125" style="157" bestFit="1" customWidth="1"/>
    <col min="518" max="518" width="21.28515625" style="157" bestFit="1" customWidth="1"/>
    <col min="519" max="519" width="8.28515625" style="157" customWidth="1"/>
    <col min="520" max="520" width="12.85546875" style="157" customWidth="1"/>
    <col min="521" max="521" width="11.42578125" style="157" customWidth="1"/>
    <col min="522" max="522" width="15.42578125" style="157" customWidth="1"/>
    <col min="523" max="524" width="13.42578125" style="157" customWidth="1"/>
    <col min="525" max="525" width="15.140625" style="157" bestFit="1" customWidth="1"/>
    <col min="526" max="526" width="12.42578125" style="157" customWidth="1"/>
    <col min="527" max="527" width="12" style="157" bestFit="1" customWidth="1"/>
    <col min="528" max="768" width="9.140625" style="157"/>
    <col min="769" max="769" width="21.42578125" style="157" customWidth="1"/>
    <col min="770" max="770" width="47.7109375" style="157" bestFit="1" customWidth="1"/>
    <col min="771" max="771" width="11.85546875" style="157" bestFit="1" customWidth="1"/>
    <col min="772" max="772" width="47" style="157" bestFit="1" customWidth="1"/>
    <col min="773" max="773" width="28.42578125" style="157" bestFit="1" customWidth="1"/>
    <col min="774" max="774" width="21.28515625" style="157" bestFit="1" customWidth="1"/>
    <col min="775" max="775" width="8.28515625" style="157" customWidth="1"/>
    <col min="776" max="776" width="12.85546875" style="157" customWidth="1"/>
    <col min="777" max="777" width="11.42578125" style="157" customWidth="1"/>
    <col min="778" max="778" width="15.42578125" style="157" customWidth="1"/>
    <col min="779" max="780" width="13.42578125" style="157" customWidth="1"/>
    <col min="781" max="781" width="15.140625" style="157" bestFit="1" customWidth="1"/>
    <col min="782" max="782" width="12.42578125" style="157" customWidth="1"/>
    <col min="783" max="783" width="12" style="157" bestFit="1" customWidth="1"/>
    <col min="784" max="1024" width="9.140625" style="157"/>
    <col min="1025" max="1025" width="21.42578125" style="157" customWidth="1"/>
    <col min="1026" max="1026" width="47.7109375" style="157" bestFit="1" customWidth="1"/>
    <col min="1027" max="1027" width="11.85546875" style="157" bestFit="1" customWidth="1"/>
    <col min="1028" max="1028" width="47" style="157" bestFit="1" customWidth="1"/>
    <col min="1029" max="1029" width="28.42578125" style="157" bestFit="1" customWidth="1"/>
    <col min="1030" max="1030" width="21.28515625" style="157" bestFit="1" customWidth="1"/>
    <col min="1031" max="1031" width="8.28515625" style="157" customWidth="1"/>
    <col min="1032" max="1032" width="12.85546875" style="157" customWidth="1"/>
    <col min="1033" max="1033" width="11.42578125" style="157" customWidth="1"/>
    <col min="1034" max="1034" width="15.42578125" style="157" customWidth="1"/>
    <col min="1035" max="1036" width="13.42578125" style="157" customWidth="1"/>
    <col min="1037" max="1037" width="15.140625" style="157" bestFit="1" customWidth="1"/>
    <col min="1038" max="1038" width="12.42578125" style="157" customWidth="1"/>
    <col min="1039" max="1039" width="12" style="157" bestFit="1" customWidth="1"/>
    <col min="1040" max="1280" width="9.140625" style="157"/>
    <col min="1281" max="1281" width="21.42578125" style="157" customWidth="1"/>
    <col min="1282" max="1282" width="47.7109375" style="157" bestFit="1" customWidth="1"/>
    <col min="1283" max="1283" width="11.85546875" style="157" bestFit="1" customWidth="1"/>
    <col min="1284" max="1284" width="47" style="157" bestFit="1" customWidth="1"/>
    <col min="1285" max="1285" width="28.42578125" style="157" bestFit="1" customWidth="1"/>
    <col min="1286" max="1286" width="21.28515625" style="157" bestFit="1" customWidth="1"/>
    <col min="1287" max="1287" width="8.28515625" style="157" customWidth="1"/>
    <col min="1288" max="1288" width="12.85546875" style="157" customWidth="1"/>
    <col min="1289" max="1289" width="11.42578125" style="157" customWidth="1"/>
    <col min="1290" max="1290" width="15.42578125" style="157" customWidth="1"/>
    <col min="1291" max="1292" width="13.42578125" style="157" customWidth="1"/>
    <col min="1293" max="1293" width="15.140625" style="157" bestFit="1" customWidth="1"/>
    <col min="1294" max="1294" width="12.42578125" style="157" customWidth="1"/>
    <col min="1295" max="1295" width="12" style="157" bestFit="1" customWidth="1"/>
    <col min="1296" max="1536" width="9.140625" style="157"/>
    <col min="1537" max="1537" width="21.42578125" style="157" customWidth="1"/>
    <col min="1538" max="1538" width="47.7109375" style="157" bestFit="1" customWidth="1"/>
    <col min="1539" max="1539" width="11.85546875" style="157" bestFit="1" customWidth="1"/>
    <col min="1540" max="1540" width="47" style="157" bestFit="1" customWidth="1"/>
    <col min="1541" max="1541" width="28.42578125" style="157" bestFit="1" customWidth="1"/>
    <col min="1542" max="1542" width="21.28515625" style="157" bestFit="1" customWidth="1"/>
    <col min="1543" max="1543" width="8.28515625" style="157" customWidth="1"/>
    <col min="1544" max="1544" width="12.85546875" style="157" customWidth="1"/>
    <col min="1545" max="1545" width="11.42578125" style="157" customWidth="1"/>
    <col min="1546" max="1546" width="15.42578125" style="157" customWidth="1"/>
    <col min="1547" max="1548" width="13.42578125" style="157" customWidth="1"/>
    <col min="1549" max="1549" width="15.140625" style="157" bestFit="1" customWidth="1"/>
    <col min="1550" max="1550" width="12.42578125" style="157" customWidth="1"/>
    <col min="1551" max="1551" width="12" style="157" bestFit="1" customWidth="1"/>
    <col min="1552" max="1792" width="9.140625" style="157"/>
    <col min="1793" max="1793" width="21.42578125" style="157" customWidth="1"/>
    <col min="1794" max="1794" width="47.7109375" style="157" bestFit="1" customWidth="1"/>
    <col min="1795" max="1795" width="11.85546875" style="157" bestFit="1" customWidth="1"/>
    <col min="1796" max="1796" width="47" style="157" bestFit="1" customWidth="1"/>
    <col min="1797" max="1797" width="28.42578125" style="157" bestFit="1" customWidth="1"/>
    <col min="1798" max="1798" width="21.28515625" style="157" bestFit="1" customWidth="1"/>
    <col min="1799" max="1799" width="8.28515625" style="157" customWidth="1"/>
    <col min="1800" max="1800" width="12.85546875" style="157" customWidth="1"/>
    <col min="1801" max="1801" width="11.42578125" style="157" customWidth="1"/>
    <col min="1802" max="1802" width="15.42578125" style="157" customWidth="1"/>
    <col min="1803" max="1804" width="13.42578125" style="157" customWidth="1"/>
    <col min="1805" max="1805" width="15.140625" style="157" bestFit="1" customWidth="1"/>
    <col min="1806" max="1806" width="12.42578125" style="157" customWidth="1"/>
    <col min="1807" max="1807" width="12" style="157" bestFit="1" customWidth="1"/>
    <col min="1808" max="2048" width="9.140625" style="157"/>
    <col min="2049" max="2049" width="21.42578125" style="157" customWidth="1"/>
    <col min="2050" max="2050" width="47.7109375" style="157" bestFit="1" customWidth="1"/>
    <col min="2051" max="2051" width="11.85546875" style="157" bestFit="1" customWidth="1"/>
    <col min="2052" max="2052" width="47" style="157" bestFit="1" customWidth="1"/>
    <col min="2053" max="2053" width="28.42578125" style="157" bestFit="1" customWidth="1"/>
    <col min="2054" max="2054" width="21.28515625" style="157" bestFit="1" customWidth="1"/>
    <col min="2055" max="2055" width="8.28515625" style="157" customWidth="1"/>
    <col min="2056" max="2056" width="12.85546875" style="157" customWidth="1"/>
    <col min="2057" max="2057" width="11.42578125" style="157" customWidth="1"/>
    <col min="2058" max="2058" width="15.42578125" style="157" customWidth="1"/>
    <col min="2059" max="2060" width="13.42578125" style="157" customWidth="1"/>
    <col min="2061" max="2061" width="15.140625" style="157" bestFit="1" customWidth="1"/>
    <col min="2062" max="2062" width="12.42578125" style="157" customWidth="1"/>
    <col min="2063" max="2063" width="12" style="157" bestFit="1" customWidth="1"/>
    <col min="2064" max="2304" width="9.140625" style="157"/>
    <col min="2305" max="2305" width="21.42578125" style="157" customWidth="1"/>
    <col min="2306" max="2306" width="47.7109375" style="157" bestFit="1" customWidth="1"/>
    <col min="2307" max="2307" width="11.85546875" style="157" bestFit="1" customWidth="1"/>
    <col min="2308" max="2308" width="47" style="157" bestFit="1" customWidth="1"/>
    <col min="2309" max="2309" width="28.42578125" style="157" bestFit="1" customWidth="1"/>
    <col min="2310" max="2310" width="21.28515625" style="157" bestFit="1" customWidth="1"/>
    <col min="2311" max="2311" width="8.28515625" style="157" customWidth="1"/>
    <col min="2312" max="2312" width="12.85546875" style="157" customWidth="1"/>
    <col min="2313" max="2313" width="11.42578125" style="157" customWidth="1"/>
    <col min="2314" max="2314" width="15.42578125" style="157" customWidth="1"/>
    <col min="2315" max="2316" width="13.42578125" style="157" customWidth="1"/>
    <col min="2317" max="2317" width="15.140625" style="157" bestFit="1" customWidth="1"/>
    <col min="2318" max="2318" width="12.42578125" style="157" customWidth="1"/>
    <col min="2319" max="2319" width="12" style="157" bestFit="1" customWidth="1"/>
    <col min="2320" max="2560" width="9.140625" style="157"/>
    <col min="2561" max="2561" width="21.42578125" style="157" customWidth="1"/>
    <col min="2562" max="2562" width="47.7109375" style="157" bestFit="1" customWidth="1"/>
    <col min="2563" max="2563" width="11.85546875" style="157" bestFit="1" customWidth="1"/>
    <col min="2564" max="2564" width="47" style="157" bestFit="1" customWidth="1"/>
    <col min="2565" max="2565" width="28.42578125" style="157" bestFit="1" customWidth="1"/>
    <col min="2566" max="2566" width="21.28515625" style="157" bestFit="1" customWidth="1"/>
    <col min="2567" max="2567" width="8.28515625" style="157" customWidth="1"/>
    <col min="2568" max="2568" width="12.85546875" style="157" customWidth="1"/>
    <col min="2569" max="2569" width="11.42578125" style="157" customWidth="1"/>
    <col min="2570" max="2570" width="15.42578125" style="157" customWidth="1"/>
    <col min="2571" max="2572" width="13.42578125" style="157" customWidth="1"/>
    <col min="2573" max="2573" width="15.140625" style="157" bestFit="1" customWidth="1"/>
    <col min="2574" max="2574" width="12.42578125" style="157" customWidth="1"/>
    <col min="2575" max="2575" width="12" style="157" bestFit="1" customWidth="1"/>
    <col min="2576" max="2816" width="9.140625" style="157"/>
    <col min="2817" max="2817" width="21.42578125" style="157" customWidth="1"/>
    <col min="2818" max="2818" width="47.7109375" style="157" bestFit="1" customWidth="1"/>
    <col min="2819" max="2819" width="11.85546875" style="157" bestFit="1" customWidth="1"/>
    <col min="2820" max="2820" width="47" style="157" bestFit="1" customWidth="1"/>
    <col min="2821" max="2821" width="28.42578125" style="157" bestFit="1" customWidth="1"/>
    <col min="2822" max="2822" width="21.28515625" style="157" bestFit="1" customWidth="1"/>
    <col min="2823" max="2823" width="8.28515625" style="157" customWidth="1"/>
    <col min="2824" max="2824" width="12.85546875" style="157" customWidth="1"/>
    <col min="2825" max="2825" width="11.42578125" style="157" customWidth="1"/>
    <col min="2826" max="2826" width="15.42578125" style="157" customWidth="1"/>
    <col min="2827" max="2828" width="13.42578125" style="157" customWidth="1"/>
    <col min="2829" max="2829" width="15.140625" style="157" bestFit="1" customWidth="1"/>
    <col min="2830" max="2830" width="12.42578125" style="157" customWidth="1"/>
    <col min="2831" max="2831" width="12" style="157" bestFit="1" customWidth="1"/>
    <col min="2832" max="3072" width="9.140625" style="157"/>
    <col min="3073" max="3073" width="21.42578125" style="157" customWidth="1"/>
    <col min="3074" max="3074" width="47.7109375" style="157" bestFit="1" customWidth="1"/>
    <col min="3075" max="3075" width="11.85546875" style="157" bestFit="1" customWidth="1"/>
    <col min="3076" max="3076" width="47" style="157" bestFit="1" customWidth="1"/>
    <col min="3077" max="3077" width="28.42578125" style="157" bestFit="1" customWidth="1"/>
    <col min="3078" max="3078" width="21.28515625" style="157" bestFit="1" customWidth="1"/>
    <col min="3079" max="3079" width="8.28515625" style="157" customWidth="1"/>
    <col min="3080" max="3080" width="12.85546875" style="157" customWidth="1"/>
    <col min="3081" max="3081" width="11.42578125" style="157" customWidth="1"/>
    <col min="3082" max="3082" width="15.42578125" style="157" customWidth="1"/>
    <col min="3083" max="3084" width="13.42578125" style="157" customWidth="1"/>
    <col min="3085" max="3085" width="15.140625" style="157" bestFit="1" customWidth="1"/>
    <col min="3086" max="3086" width="12.42578125" style="157" customWidth="1"/>
    <col min="3087" max="3087" width="12" style="157" bestFit="1" customWidth="1"/>
    <col min="3088" max="3328" width="9.140625" style="157"/>
    <col min="3329" max="3329" width="21.42578125" style="157" customWidth="1"/>
    <col min="3330" max="3330" width="47.7109375" style="157" bestFit="1" customWidth="1"/>
    <col min="3331" max="3331" width="11.85546875" style="157" bestFit="1" customWidth="1"/>
    <col min="3332" max="3332" width="47" style="157" bestFit="1" customWidth="1"/>
    <col min="3333" max="3333" width="28.42578125" style="157" bestFit="1" customWidth="1"/>
    <col min="3334" max="3334" width="21.28515625" style="157" bestFit="1" customWidth="1"/>
    <col min="3335" max="3335" width="8.28515625" style="157" customWidth="1"/>
    <col min="3336" max="3336" width="12.85546875" style="157" customWidth="1"/>
    <col min="3337" max="3337" width="11.42578125" style="157" customWidth="1"/>
    <col min="3338" max="3338" width="15.42578125" style="157" customWidth="1"/>
    <col min="3339" max="3340" width="13.42578125" style="157" customWidth="1"/>
    <col min="3341" max="3341" width="15.140625" style="157" bestFit="1" customWidth="1"/>
    <col min="3342" max="3342" width="12.42578125" style="157" customWidth="1"/>
    <col min="3343" max="3343" width="12" style="157" bestFit="1" customWidth="1"/>
    <col min="3344" max="3584" width="9.140625" style="157"/>
    <col min="3585" max="3585" width="21.42578125" style="157" customWidth="1"/>
    <col min="3586" max="3586" width="47.7109375" style="157" bestFit="1" customWidth="1"/>
    <col min="3587" max="3587" width="11.85546875" style="157" bestFit="1" customWidth="1"/>
    <col min="3588" max="3588" width="47" style="157" bestFit="1" customWidth="1"/>
    <col min="3589" max="3589" width="28.42578125" style="157" bestFit="1" customWidth="1"/>
    <col min="3590" max="3590" width="21.28515625" style="157" bestFit="1" customWidth="1"/>
    <col min="3591" max="3591" width="8.28515625" style="157" customWidth="1"/>
    <col min="3592" max="3592" width="12.85546875" style="157" customWidth="1"/>
    <col min="3593" max="3593" width="11.42578125" style="157" customWidth="1"/>
    <col min="3594" max="3594" width="15.42578125" style="157" customWidth="1"/>
    <col min="3595" max="3596" width="13.42578125" style="157" customWidth="1"/>
    <col min="3597" max="3597" width="15.140625" style="157" bestFit="1" customWidth="1"/>
    <col min="3598" max="3598" width="12.42578125" style="157" customWidth="1"/>
    <col min="3599" max="3599" width="12" style="157" bestFit="1" customWidth="1"/>
    <col min="3600" max="3840" width="9.140625" style="157"/>
    <col min="3841" max="3841" width="21.42578125" style="157" customWidth="1"/>
    <col min="3842" max="3842" width="47.7109375" style="157" bestFit="1" customWidth="1"/>
    <col min="3843" max="3843" width="11.85546875" style="157" bestFit="1" customWidth="1"/>
    <col min="3844" max="3844" width="47" style="157" bestFit="1" customWidth="1"/>
    <col min="3845" max="3845" width="28.42578125" style="157" bestFit="1" customWidth="1"/>
    <col min="3846" max="3846" width="21.28515625" style="157" bestFit="1" customWidth="1"/>
    <col min="3847" max="3847" width="8.28515625" style="157" customWidth="1"/>
    <col min="3848" max="3848" width="12.85546875" style="157" customWidth="1"/>
    <col min="3849" max="3849" width="11.42578125" style="157" customWidth="1"/>
    <col min="3850" max="3850" width="15.42578125" style="157" customWidth="1"/>
    <col min="3851" max="3852" width="13.42578125" style="157" customWidth="1"/>
    <col min="3853" max="3853" width="15.140625" style="157" bestFit="1" customWidth="1"/>
    <col min="3854" max="3854" width="12.42578125" style="157" customWidth="1"/>
    <col min="3855" max="3855" width="12" style="157" bestFit="1" customWidth="1"/>
    <col min="3856" max="4096" width="9.140625" style="157"/>
    <col min="4097" max="4097" width="21.42578125" style="157" customWidth="1"/>
    <col min="4098" max="4098" width="47.7109375" style="157" bestFit="1" customWidth="1"/>
    <col min="4099" max="4099" width="11.85546875" style="157" bestFit="1" customWidth="1"/>
    <col min="4100" max="4100" width="47" style="157" bestFit="1" customWidth="1"/>
    <col min="4101" max="4101" width="28.42578125" style="157" bestFit="1" customWidth="1"/>
    <col min="4102" max="4102" width="21.28515625" style="157" bestFit="1" customWidth="1"/>
    <col min="4103" max="4103" width="8.28515625" style="157" customWidth="1"/>
    <col min="4104" max="4104" width="12.85546875" style="157" customWidth="1"/>
    <col min="4105" max="4105" width="11.42578125" style="157" customWidth="1"/>
    <col min="4106" max="4106" width="15.42578125" style="157" customWidth="1"/>
    <col min="4107" max="4108" width="13.42578125" style="157" customWidth="1"/>
    <col min="4109" max="4109" width="15.140625" style="157" bestFit="1" customWidth="1"/>
    <col min="4110" max="4110" width="12.42578125" style="157" customWidth="1"/>
    <col min="4111" max="4111" width="12" style="157" bestFit="1" customWidth="1"/>
    <col min="4112" max="4352" width="9.140625" style="157"/>
    <col min="4353" max="4353" width="21.42578125" style="157" customWidth="1"/>
    <col min="4354" max="4354" width="47.7109375" style="157" bestFit="1" customWidth="1"/>
    <col min="4355" max="4355" width="11.85546875" style="157" bestFit="1" customWidth="1"/>
    <col min="4356" max="4356" width="47" style="157" bestFit="1" customWidth="1"/>
    <col min="4357" max="4357" width="28.42578125" style="157" bestFit="1" customWidth="1"/>
    <col min="4358" max="4358" width="21.28515625" style="157" bestFit="1" customWidth="1"/>
    <col min="4359" max="4359" width="8.28515625" style="157" customWidth="1"/>
    <col min="4360" max="4360" width="12.85546875" style="157" customWidth="1"/>
    <col min="4361" max="4361" width="11.42578125" style="157" customWidth="1"/>
    <col min="4362" max="4362" width="15.42578125" style="157" customWidth="1"/>
    <col min="4363" max="4364" width="13.42578125" style="157" customWidth="1"/>
    <col min="4365" max="4365" width="15.140625" style="157" bestFit="1" customWidth="1"/>
    <col min="4366" max="4366" width="12.42578125" style="157" customWidth="1"/>
    <col min="4367" max="4367" width="12" style="157" bestFit="1" customWidth="1"/>
    <col min="4368" max="4608" width="9.140625" style="157"/>
    <col min="4609" max="4609" width="21.42578125" style="157" customWidth="1"/>
    <col min="4610" max="4610" width="47.7109375" style="157" bestFit="1" customWidth="1"/>
    <col min="4611" max="4611" width="11.85546875" style="157" bestFit="1" customWidth="1"/>
    <col min="4612" max="4612" width="47" style="157" bestFit="1" customWidth="1"/>
    <col min="4613" max="4613" width="28.42578125" style="157" bestFit="1" customWidth="1"/>
    <col min="4614" max="4614" width="21.28515625" style="157" bestFit="1" customWidth="1"/>
    <col min="4615" max="4615" width="8.28515625" style="157" customWidth="1"/>
    <col min="4616" max="4616" width="12.85546875" style="157" customWidth="1"/>
    <col min="4617" max="4617" width="11.42578125" style="157" customWidth="1"/>
    <col min="4618" max="4618" width="15.42578125" style="157" customWidth="1"/>
    <col min="4619" max="4620" width="13.42578125" style="157" customWidth="1"/>
    <col min="4621" max="4621" width="15.140625" style="157" bestFit="1" customWidth="1"/>
    <col min="4622" max="4622" width="12.42578125" style="157" customWidth="1"/>
    <col min="4623" max="4623" width="12" style="157" bestFit="1" customWidth="1"/>
    <col min="4624" max="4864" width="9.140625" style="157"/>
    <col min="4865" max="4865" width="21.42578125" style="157" customWidth="1"/>
    <col min="4866" max="4866" width="47.7109375" style="157" bestFit="1" customWidth="1"/>
    <col min="4867" max="4867" width="11.85546875" style="157" bestFit="1" customWidth="1"/>
    <col min="4868" max="4868" width="47" style="157" bestFit="1" customWidth="1"/>
    <col min="4869" max="4869" width="28.42578125" style="157" bestFit="1" customWidth="1"/>
    <col min="4870" max="4870" width="21.28515625" style="157" bestFit="1" customWidth="1"/>
    <col min="4871" max="4871" width="8.28515625" style="157" customWidth="1"/>
    <col min="4872" max="4872" width="12.85546875" style="157" customWidth="1"/>
    <col min="4873" max="4873" width="11.42578125" style="157" customWidth="1"/>
    <col min="4874" max="4874" width="15.42578125" style="157" customWidth="1"/>
    <col min="4875" max="4876" width="13.42578125" style="157" customWidth="1"/>
    <col min="4877" max="4877" width="15.140625" style="157" bestFit="1" customWidth="1"/>
    <col min="4878" max="4878" width="12.42578125" style="157" customWidth="1"/>
    <col min="4879" max="4879" width="12" style="157" bestFit="1" customWidth="1"/>
    <col min="4880" max="5120" width="9.140625" style="157"/>
    <col min="5121" max="5121" width="21.42578125" style="157" customWidth="1"/>
    <col min="5122" max="5122" width="47.7109375" style="157" bestFit="1" customWidth="1"/>
    <col min="5123" max="5123" width="11.85546875" style="157" bestFit="1" customWidth="1"/>
    <col min="5124" max="5124" width="47" style="157" bestFit="1" customWidth="1"/>
    <col min="5125" max="5125" width="28.42578125" style="157" bestFit="1" customWidth="1"/>
    <col min="5126" max="5126" width="21.28515625" style="157" bestFit="1" customWidth="1"/>
    <col min="5127" max="5127" width="8.28515625" style="157" customWidth="1"/>
    <col min="5128" max="5128" width="12.85546875" style="157" customWidth="1"/>
    <col min="5129" max="5129" width="11.42578125" style="157" customWidth="1"/>
    <col min="5130" max="5130" width="15.42578125" style="157" customWidth="1"/>
    <col min="5131" max="5132" width="13.42578125" style="157" customWidth="1"/>
    <col min="5133" max="5133" width="15.140625" style="157" bestFit="1" customWidth="1"/>
    <col min="5134" max="5134" width="12.42578125" style="157" customWidth="1"/>
    <col min="5135" max="5135" width="12" style="157" bestFit="1" customWidth="1"/>
    <col min="5136" max="5376" width="9.140625" style="157"/>
    <col min="5377" max="5377" width="21.42578125" style="157" customWidth="1"/>
    <col min="5378" max="5378" width="47.7109375" style="157" bestFit="1" customWidth="1"/>
    <col min="5379" max="5379" width="11.85546875" style="157" bestFit="1" customWidth="1"/>
    <col min="5380" max="5380" width="47" style="157" bestFit="1" customWidth="1"/>
    <col min="5381" max="5381" width="28.42578125" style="157" bestFit="1" customWidth="1"/>
    <col min="5382" max="5382" width="21.28515625" style="157" bestFit="1" customWidth="1"/>
    <col min="5383" max="5383" width="8.28515625" style="157" customWidth="1"/>
    <col min="5384" max="5384" width="12.85546875" style="157" customWidth="1"/>
    <col min="5385" max="5385" width="11.42578125" style="157" customWidth="1"/>
    <col min="5386" max="5386" width="15.42578125" style="157" customWidth="1"/>
    <col min="5387" max="5388" width="13.42578125" style="157" customWidth="1"/>
    <col min="5389" max="5389" width="15.140625" style="157" bestFit="1" customWidth="1"/>
    <col min="5390" max="5390" width="12.42578125" style="157" customWidth="1"/>
    <col min="5391" max="5391" width="12" style="157" bestFit="1" customWidth="1"/>
    <col min="5392" max="5632" width="9.140625" style="157"/>
    <col min="5633" max="5633" width="21.42578125" style="157" customWidth="1"/>
    <col min="5634" max="5634" width="47.7109375" style="157" bestFit="1" customWidth="1"/>
    <col min="5635" max="5635" width="11.85546875" style="157" bestFit="1" customWidth="1"/>
    <col min="5636" max="5636" width="47" style="157" bestFit="1" customWidth="1"/>
    <col min="5637" max="5637" width="28.42578125" style="157" bestFit="1" customWidth="1"/>
    <col min="5638" max="5638" width="21.28515625" style="157" bestFit="1" customWidth="1"/>
    <col min="5639" max="5639" width="8.28515625" style="157" customWidth="1"/>
    <col min="5640" max="5640" width="12.85546875" style="157" customWidth="1"/>
    <col min="5641" max="5641" width="11.42578125" style="157" customWidth="1"/>
    <col min="5642" max="5642" width="15.42578125" style="157" customWidth="1"/>
    <col min="5643" max="5644" width="13.42578125" style="157" customWidth="1"/>
    <col min="5645" max="5645" width="15.140625" style="157" bestFit="1" customWidth="1"/>
    <col min="5646" max="5646" width="12.42578125" style="157" customWidth="1"/>
    <col min="5647" max="5647" width="12" style="157" bestFit="1" customWidth="1"/>
    <col min="5648" max="5888" width="9.140625" style="157"/>
    <col min="5889" max="5889" width="21.42578125" style="157" customWidth="1"/>
    <col min="5890" max="5890" width="47.7109375" style="157" bestFit="1" customWidth="1"/>
    <col min="5891" max="5891" width="11.85546875" style="157" bestFit="1" customWidth="1"/>
    <col min="5892" max="5892" width="47" style="157" bestFit="1" customWidth="1"/>
    <col min="5893" max="5893" width="28.42578125" style="157" bestFit="1" customWidth="1"/>
    <col min="5894" max="5894" width="21.28515625" style="157" bestFit="1" customWidth="1"/>
    <col min="5895" max="5895" width="8.28515625" style="157" customWidth="1"/>
    <col min="5896" max="5896" width="12.85546875" style="157" customWidth="1"/>
    <col min="5897" max="5897" width="11.42578125" style="157" customWidth="1"/>
    <col min="5898" max="5898" width="15.42578125" style="157" customWidth="1"/>
    <col min="5899" max="5900" width="13.42578125" style="157" customWidth="1"/>
    <col min="5901" max="5901" width="15.140625" style="157" bestFit="1" customWidth="1"/>
    <col min="5902" max="5902" width="12.42578125" style="157" customWidth="1"/>
    <col min="5903" max="5903" width="12" style="157" bestFit="1" customWidth="1"/>
    <col min="5904" max="6144" width="9.140625" style="157"/>
    <col min="6145" max="6145" width="21.42578125" style="157" customWidth="1"/>
    <col min="6146" max="6146" width="47.7109375" style="157" bestFit="1" customWidth="1"/>
    <col min="6147" max="6147" width="11.85546875" style="157" bestFit="1" customWidth="1"/>
    <col min="6148" max="6148" width="47" style="157" bestFit="1" customWidth="1"/>
    <col min="6149" max="6149" width="28.42578125" style="157" bestFit="1" customWidth="1"/>
    <col min="6150" max="6150" width="21.28515625" style="157" bestFit="1" customWidth="1"/>
    <col min="6151" max="6151" width="8.28515625" style="157" customWidth="1"/>
    <col min="6152" max="6152" width="12.85546875" style="157" customWidth="1"/>
    <col min="6153" max="6153" width="11.42578125" style="157" customWidth="1"/>
    <col min="6154" max="6154" width="15.42578125" style="157" customWidth="1"/>
    <col min="6155" max="6156" width="13.42578125" style="157" customWidth="1"/>
    <col min="6157" max="6157" width="15.140625" style="157" bestFit="1" customWidth="1"/>
    <col min="6158" max="6158" width="12.42578125" style="157" customWidth="1"/>
    <col min="6159" max="6159" width="12" style="157" bestFit="1" customWidth="1"/>
    <col min="6160" max="6400" width="9.140625" style="157"/>
    <col min="6401" max="6401" width="21.42578125" style="157" customWidth="1"/>
    <col min="6402" max="6402" width="47.7109375" style="157" bestFit="1" customWidth="1"/>
    <col min="6403" max="6403" width="11.85546875" style="157" bestFit="1" customWidth="1"/>
    <col min="6404" max="6404" width="47" style="157" bestFit="1" customWidth="1"/>
    <col min="6405" max="6405" width="28.42578125" style="157" bestFit="1" customWidth="1"/>
    <col min="6406" max="6406" width="21.28515625" style="157" bestFit="1" customWidth="1"/>
    <col min="6407" max="6407" width="8.28515625" style="157" customWidth="1"/>
    <col min="6408" max="6408" width="12.85546875" style="157" customWidth="1"/>
    <col min="6409" max="6409" width="11.42578125" style="157" customWidth="1"/>
    <col min="6410" max="6410" width="15.42578125" style="157" customWidth="1"/>
    <col min="6411" max="6412" width="13.42578125" style="157" customWidth="1"/>
    <col min="6413" max="6413" width="15.140625" style="157" bestFit="1" customWidth="1"/>
    <col min="6414" max="6414" width="12.42578125" style="157" customWidth="1"/>
    <col min="6415" max="6415" width="12" style="157" bestFit="1" customWidth="1"/>
    <col min="6416" max="6656" width="9.140625" style="157"/>
    <col min="6657" max="6657" width="21.42578125" style="157" customWidth="1"/>
    <col min="6658" max="6658" width="47.7109375" style="157" bestFit="1" customWidth="1"/>
    <col min="6659" max="6659" width="11.85546875" style="157" bestFit="1" customWidth="1"/>
    <col min="6660" max="6660" width="47" style="157" bestFit="1" customWidth="1"/>
    <col min="6661" max="6661" width="28.42578125" style="157" bestFit="1" customWidth="1"/>
    <col min="6662" max="6662" width="21.28515625" style="157" bestFit="1" customWidth="1"/>
    <col min="6663" max="6663" width="8.28515625" style="157" customWidth="1"/>
    <col min="6664" max="6664" width="12.85546875" style="157" customWidth="1"/>
    <col min="6665" max="6665" width="11.42578125" style="157" customWidth="1"/>
    <col min="6666" max="6666" width="15.42578125" style="157" customWidth="1"/>
    <col min="6667" max="6668" width="13.42578125" style="157" customWidth="1"/>
    <col min="6669" max="6669" width="15.140625" style="157" bestFit="1" customWidth="1"/>
    <col min="6670" max="6670" width="12.42578125" style="157" customWidth="1"/>
    <col min="6671" max="6671" width="12" style="157" bestFit="1" customWidth="1"/>
    <col min="6672" max="6912" width="9.140625" style="157"/>
    <col min="6913" max="6913" width="21.42578125" style="157" customWidth="1"/>
    <col min="6914" max="6914" width="47.7109375" style="157" bestFit="1" customWidth="1"/>
    <col min="6915" max="6915" width="11.85546875" style="157" bestFit="1" customWidth="1"/>
    <col min="6916" max="6916" width="47" style="157" bestFit="1" customWidth="1"/>
    <col min="6917" max="6917" width="28.42578125" style="157" bestFit="1" customWidth="1"/>
    <col min="6918" max="6918" width="21.28515625" style="157" bestFit="1" customWidth="1"/>
    <col min="6919" max="6919" width="8.28515625" style="157" customWidth="1"/>
    <col min="6920" max="6920" width="12.85546875" style="157" customWidth="1"/>
    <col min="6921" max="6921" width="11.42578125" style="157" customWidth="1"/>
    <col min="6922" max="6922" width="15.42578125" style="157" customWidth="1"/>
    <col min="6923" max="6924" width="13.42578125" style="157" customWidth="1"/>
    <col min="6925" max="6925" width="15.140625" style="157" bestFit="1" customWidth="1"/>
    <col min="6926" max="6926" width="12.42578125" style="157" customWidth="1"/>
    <col min="6927" max="6927" width="12" style="157" bestFit="1" customWidth="1"/>
    <col min="6928" max="7168" width="9.140625" style="157"/>
    <col min="7169" max="7169" width="21.42578125" style="157" customWidth="1"/>
    <col min="7170" max="7170" width="47.7109375" style="157" bestFit="1" customWidth="1"/>
    <col min="7171" max="7171" width="11.85546875" style="157" bestFit="1" customWidth="1"/>
    <col min="7172" max="7172" width="47" style="157" bestFit="1" customWidth="1"/>
    <col min="7173" max="7173" width="28.42578125" style="157" bestFit="1" customWidth="1"/>
    <col min="7174" max="7174" width="21.28515625" style="157" bestFit="1" customWidth="1"/>
    <col min="7175" max="7175" width="8.28515625" style="157" customWidth="1"/>
    <col min="7176" max="7176" width="12.85546875" style="157" customWidth="1"/>
    <col min="7177" max="7177" width="11.42578125" style="157" customWidth="1"/>
    <col min="7178" max="7178" width="15.42578125" style="157" customWidth="1"/>
    <col min="7179" max="7180" width="13.42578125" style="157" customWidth="1"/>
    <col min="7181" max="7181" width="15.140625" style="157" bestFit="1" customWidth="1"/>
    <col min="7182" max="7182" width="12.42578125" style="157" customWidth="1"/>
    <col min="7183" max="7183" width="12" style="157" bestFit="1" customWidth="1"/>
    <col min="7184" max="7424" width="9.140625" style="157"/>
    <col min="7425" max="7425" width="21.42578125" style="157" customWidth="1"/>
    <col min="7426" max="7426" width="47.7109375" style="157" bestFit="1" customWidth="1"/>
    <col min="7427" max="7427" width="11.85546875" style="157" bestFit="1" customWidth="1"/>
    <col min="7428" max="7428" width="47" style="157" bestFit="1" customWidth="1"/>
    <col min="7429" max="7429" width="28.42578125" style="157" bestFit="1" customWidth="1"/>
    <col min="7430" max="7430" width="21.28515625" style="157" bestFit="1" customWidth="1"/>
    <col min="7431" max="7431" width="8.28515625" style="157" customWidth="1"/>
    <col min="7432" max="7432" width="12.85546875" style="157" customWidth="1"/>
    <col min="7433" max="7433" width="11.42578125" style="157" customWidth="1"/>
    <col min="7434" max="7434" width="15.42578125" style="157" customWidth="1"/>
    <col min="7435" max="7436" width="13.42578125" style="157" customWidth="1"/>
    <col min="7437" max="7437" width="15.140625" style="157" bestFit="1" customWidth="1"/>
    <col min="7438" max="7438" width="12.42578125" style="157" customWidth="1"/>
    <col min="7439" max="7439" width="12" style="157" bestFit="1" customWidth="1"/>
    <col min="7440" max="7680" width="9.140625" style="157"/>
    <col min="7681" max="7681" width="21.42578125" style="157" customWidth="1"/>
    <col min="7682" max="7682" width="47.7109375" style="157" bestFit="1" customWidth="1"/>
    <col min="7683" max="7683" width="11.85546875" style="157" bestFit="1" customWidth="1"/>
    <col min="7684" max="7684" width="47" style="157" bestFit="1" customWidth="1"/>
    <col min="7685" max="7685" width="28.42578125" style="157" bestFit="1" customWidth="1"/>
    <col min="7686" max="7686" width="21.28515625" style="157" bestFit="1" customWidth="1"/>
    <col min="7687" max="7687" width="8.28515625" style="157" customWidth="1"/>
    <col min="7688" max="7688" width="12.85546875" style="157" customWidth="1"/>
    <col min="7689" max="7689" width="11.42578125" style="157" customWidth="1"/>
    <col min="7690" max="7690" width="15.42578125" style="157" customWidth="1"/>
    <col min="7691" max="7692" width="13.42578125" style="157" customWidth="1"/>
    <col min="7693" max="7693" width="15.140625" style="157" bestFit="1" customWidth="1"/>
    <col min="7694" max="7694" width="12.42578125" style="157" customWidth="1"/>
    <col min="7695" max="7695" width="12" style="157" bestFit="1" customWidth="1"/>
    <col min="7696" max="7936" width="9.140625" style="157"/>
    <col min="7937" max="7937" width="21.42578125" style="157" customWidth="1"/>
    <col min="7938" max="7938" width="47.7109375" style="157" bestFit="1" customWidth="1"/>
    <col min="7939" max="7939" width="11.85546875" style="157" bestFit="1" customWidth="1"/>
    <col min="7940" max="7940" width="47" style="157" bestFit="1" customWidth="1"/>
    <col min="7941" max="7941" width="28.42578125" style="157" bestFit="1" customWidth="1"/>
    <col min="7942" max="7942" width="21.28515625" style="157" bestFit="1" customWidth="1"/>
    <col min="7943" max="7943" width="8.28515625" style="157" customWidth="1"/>
    <col min="7944" max="7944" width="12.85546875" style="157" customWidth="1"/>
    <col min="7945" max="7945" width="11.42578125" style="157" customWidth="1"/>
    <col min="7946" max="7946" width="15.42578125" style="157" customWidth="1"/>
    <col min="7947" max="7948" width="13.42578125" style="157" customWidth="1"/>
    <col min="7949" max="7949" width="15.140625" style="157" bestFit="1" customWidth="1"/>
    <col min="7950" max="7950" width="12.42578125" style="157" customWidth="1"/>
    <col min="7951" max="7951" width="12" style="157" bestFit="1" customWidth="1"/>
    <col min="7952" max="8192" width="9.140625" style="157"/>
    <col min="8193" max="8193" width="21.42578125" style="157" customWidth="1"/>
    <col min="8194" max="8194" width="47.7109375" style="157" bestFit="1" customWidth="1"/>
    <col min="8195" max="8195" width="11.85546875" style="157" bestFit="1" customWidth="1"/>
    <col min="8196" max="8196" width="47" style="157" bestFit="1" customWidth="1"/>
    <col min="8197" max="8197" width="28.42578125" style="157" bestFit="1" customWidth="1"/>
    <col min="8198" max="8198" width="21.28515625" style="157" bestFit="1" customWidth="1"/>
    <col min="8199" max="8199" width="8.28515625" style="157" customWidth="1"/>
    <col min="8200" max="8200" width="12.85546875" style="157" customWidth="1"/>
    <col min="8201" max="8201" width="11.42578125" style="157" customWidth="1"/>
    <col min="8202" max="8202" width="15.42578125" style="157" customWidth="1"/>
    <col min="8203" max="8204" width="13.42578125" style="157" customWidth="1"/>
    <col min="8205" max="8205" width="15.140625" style="157" bestFit="1" customWidth="1"/>
    <col min="8206" max="8206" width="12.42578125" style="157" customWidth="1"/>
    <col min="8207" max="8207" width="12" style="157" bestFit="1" customWidth="1"/>
    <col min="8208" max="8448" width="9.140625" style="157"/>
    <col min="8449" max="8449" width="21.42578125" style="157" customWidth="1"/>
    <col min="8450" max="8450" width="47.7109375" style="157" bestFit="1" customWidth="1"/>
    <col min="8451" max="8451" width="11.85546875" style="157" bestFit="1" customWidth="1"/>
    <col min="8452" max="8452" width="47" style="157" bestFit="1" customWidth="1"/>
    <col min="8453" max="8453" width="28.42578125" style="157" bestFit="1" customWidth="1"/>
    <col min="8454" max="8454" width="21.28515625" style="157" bestFit="1" customWidth="1"/>
    <col min="8455" max="8455" width="8.28515625" style="157" customWidth="1"/>
    <col min="8456" max="8456" width="12.85546875" style="157" customWidth="1"/>
    <col min="8457" max="8457" width="11.42578125" style="157" customWidth="1"/>
    <col min="8458" max="8458" width="15.42578125" style="157" customWidth="1"/>
    <col min="8459" max="8460" width="13.42578125" style="157" customWidth="1"/>
    <col min="8461" max="8461" width="15.140625" style="157" bestFit="1" customWidth="1"/>
    <col min="8462" max="8462" width="12.42578125" style="157" customWidth="1"/>
    <col min="8463" max="8463" width="12" style="157" bestFit="1" customWidth="1"/>
    <col min="8464" max="8704" width="9.140625" style="157"/>
    <col min="8705" max="8705" width="21.42578125" style="157" customWidth="1"/>
    <col min="8706" max="8706" width="47.7109375" style="157" bestFit="1" customWidth="1"/>
    <col min="8707" max="8707" width="11.85546875" style="157" bestFit="1" customWidth="1"/>
    <col min="8708" max="8708" width="47" style="157" bestFit="1" customWidth="1"/>
    <col min="8709" max="8709" width="28.42578125" style="157" bestFit="1" customWidth="1"/>
    <col min="8710" max="8710" width="21.28515625" style="157" bestFit="1" customWidth="1"/>
    <col min="8711" max="8711" width="8.28515625" style="157" customWidth="1"/>
    <col min="8712" max="8712" width="12.85546875" style="157" customWidth="1"/>
    <col min="8713" max="8713" width="11.42578125" style="157" customWidth="1"/>
    <col min="8714" max="8714" width="15.42578125" style="157" customWidth="1"/>
    <col min="8715" max="8716" width="13.42578125" style="157" customWidth="1"/>
    <col min="8717" max="8717" width="15.140625" style="157" bestFit="1" customWidth="1"/>
    <col min="8718" max="8718" width="12.42578125" style="157" customWidth="1"/>
    <col min="8719" max="8719" width="12" style="157" bestFit="1" customWidth="1"/>
    <col min="8720" max="8960" width="9.140625" style="157"/>
    <col min="8961" max="8961" width="21.42578125" style="157" customWidth="1"/>
    <col min="8962" max="8962" width="47.7109375" style="157" bestFit="1" customWidth="1"/>
    <col min="8963" max="8963" width="11.85546875" style="157" bestFit="1" customWidth="1"/>
    <col min="8964" max="8964" width="47" style="157" bestFit="1" customWidth="1"/>
    <col min="8965" max="8965" width="28.42578125" style="157" bestFit="1" customWidth="1"/>
    <col min="8966" max="8966" width="21.28515625" style="157" bestFit="1" customWidth="1"/>
    <col min="8967" max="8967" width="8.28515625" style="157" customWidth="1"/>
    <col min="8968" max="8968" width="12.85546875" style="157" customWidth="1"/>
    <col min="8969" max="8969" width="11.42578125" style="157" customWidth="1"/>
    <col min="8970" max="8970" width="15.42578125" style="157" customWidth="1"/>
    <col min="8971" max="8972" width="13.42578125" style="157" customWidth="1"/>
    <col min="8973" max="8973" width="15.140625" style="157" bestFit="1" customWidth="1"/>
    <col min="8974" max="8974" width="12.42578125" style="157" customWidth="1"/>
    <col min="8975" max="8975" width="12" style="157" bestFit="1" customWidth="1"/>
    <col min="8976" max="9216" width="9.140625" style="157"/>
    <col min="9217" max="9217" width="21.42578125" style="157" customWidth="1"/>
    <col min="9218" max="9218" width="47.7109375" style="157" bestFit="1" customWidth="1"/>
    <col min="9219" max="9219" width="11.85546875" style="157" bestFit="1" customWidth="1"/>
    <col min="9220" max="9220" width="47" style="157" bestFit="1" customWidth="1"/>
    <col min="9221" max="9221" width="28.42578125" style="157" bestFit="1" customWidth="1"/>
    <col min="9222" max="9222" width="21.28515625" style="157" bestFit="1" customWidth="1"/>
    <col min="9223" max="9223" width="8.28515625" style="157" customWidth="1"/>
    <col min="9224" max="9224" width="12.85546875" style="157" customWidth="1"/>
    <col min="9225" max="9225" width="11.42578125" style="157" customWidth="1"/>
    <col min="9226" max="9226" width="15.42578125" style="157" customWidth="1"/>
    <col min="9227" max="9228" width="13.42578125" style="157" customWidth="1"/>
    <col min="9229" max="9229" width="15.140625" style="157" bestFit="1" customWidth="1"/>
    <col min="9230" max="9230" width="12.42578125" style="157" customWidth="1"/>
    <col min="9231" max="9231" width="12" style="157" bestFit="1" customWidth="1"/>
    <col min="9232" max="9472" width="9.140625" style="157"/>
    <col min="9473" max="9473" width="21.42578125" style="157" customWidth="1"/>
    <col min="9474" max="9474" width="47.7109375" style="157" bestFit="1" customWidth="1"/>
    <col min="9475" max="9475" width="11.85546875" style="157" bestFit="1" customWidth="1"/>
    <col min="9476" max="9476" width="47" style="157" bestFit="1" customWidth="1"/>
    <col min="9477" max="9477" width="28.42578125" style="157" bestFit="1" customWidth="1"/>
    <col min="9478" max="9478" width="21.28515625" style="157" bestFit="1" customWidth="1"/>
    <col min="9479" max="9479" width="8.28515625" style="157" customWidth="1"/>
    <col min="9480" max="9480" width="12.85546875" style="157" customWidth="1"/>
    <col min="9481" max="9481" width="11.42578125" style="157" customWidth="1"/>
    <col min="9482" max="9482" width="15.42578125" style="157" customWidth="1"/>
    <col min="9483" max="9484" width="13.42578125" style="157" customWidth="1"/>
    <col min="9485" max="9485" width="15.140625" style="157" bestFit="1" customWidth="1"/>
    <col min="9486" max="9486" width="12.42578125" style="157" customWidth="1"/>
    <col min="9487" max="9487" width="12" style="157" bestFit="1" customWidth="1"/>
    <col min="9488" max="9728" width="9.140625" style="157"/>
    <col min="9729" max="9729" width="21.42578125" style="157" customWidth="1"/>
    <col min="9730" max="9730" width="47.7109375" style="157" bestFit="1" customWidth="1"/>
    <col min="9731" max="9731" width="11.85546875" style="157" bestFit="1" customWidth="1"/>
    <col min="9732" max="9732" width="47" style="157" bestFit="1" customWidth="1"/>
    <col min="9733" max="9733" width="28.42578125" style="157" bestFit="1" customWidth="1"/>
    <col min="9734" max="9734" width="21.28515625" style="157" bestFit="1" customWidth="1"/>
    <col min="9735" max="9735" width="8.28515625" style="157" customWidth="1"/>
    <col min="9736" max="9736" width="12.85546875" style="157" customWidth="1"/>
    <col min="9737" max="9737" width="11.42578125" style="157" customWidth="1"/>
    <col min="9738" max="9738" width="15.42578125" style="157" customWidth="1"/>
    <col min="9739" max="9740" width="13.42578125" style="157" customWidth="1"/>
    <col min="9741" max="9741" width="15.140625" style="157" bestFit="1" customWidth="1"/>
    <col min="9742" max="9742" width="12.42578125" style="157" customWidth="1"/>
    <col min="9743" max="9743" width="12" style="157" bestFit="1" customWidth="1"/>
    <col min="9744" max="9984" width="9.140625" style="157"/>
    <col min="9985" max="9985" width="21.42578125" style="157" customWidth="1"/>
    <col min="9986" max="9986" width="47.7109375" style="157" bestFit="1" customWidth="1"/>
    <col min="9987" max="9987" width="11.85546875" style="157" bestFit="1" customWidth="1"/>
    <col min="9988" max="9988" width="47" style="157" bestFit="1" customWidth="1"/>
    <col min="9989" max="9989" width="28.42578125" style="157" bestFit="1" customWidth="1"/>
    <col min="9990" max="9990" width="21.28515625" style="157" bestFit="1" customWidth="1"/>
    <col min="9991" max="9991" width="8.28515625" style="157" customWidth="1"/>
    <col min="9992" max="9992" width="12.85546875" style="157" customWidth="1"/>
    <col min="9993" max="9993" width="11.42578125" style="157" customWidth="1"/>
    <col min="9994" max="9994" width="15.42578125" style="157" customWidth="1"/>
    <col min="9995" max="9996" width="13.42578125" style="157" customWidth="1"/>
    <col min="9997" max="9997" width="15.140625" style="157" bestFit="1" customWidth="1"/>
    <col min="9998" max="9998" width="12.42578125" style="157" customWidth="1"/>
    <col min="9999" max="9999" width="12" style="157" bestFit="1" customWidth="1"/>
    <col min="10000" max="10240" width="9.140625" style="157"/>
    <col min="10241" max="10241" width="21.42578125" style="157" customWidth="1"/>
    <col min="10242" max="10242" width="47.7109375" style="157" bestFit="1" customWidth="1"/>
    <col min="10243" max="10243" width="11.85546875" style="157" bestFit="1" customWidth="1"/>
    <col min="10244" max="10244" width="47" style="157" bestFit="1" customWidth="1"/>
    <col min="10245" max="10245" width="28.42578125" style="157" bestFit="1" customWidth="1"/>
    <col min="10246" max="10246" width="21.28515625" style="157" bestFit="1" customWidth="1"/>
    <col min="10247" max="10247" width="8.28515625" style="157" customWidth="1"/>
    <col min="10248" max="10248" width="12.85546875" style="157" customWidth="1"/>
    <col min="10249" max="10249" width="11.42578125" style="157" customWidth="1"/>
    <col min="10250" max="10250" width="15.42578125" style="157" customWidth="1"/>
    <col min="10251" max="10252" width="13.42578125" style="157" customWidth="1"/>
    <col min="10253" max="10253" width="15.140625" style="157" bestFit="1" customWidth="1"/>
    <col min="10254" max="10254" width="12.42578125" style="157" customWidth="1"/>
    <col min="10255" max="10255" width="12" style="157" bestFit="1" customWidth="1"/>
    <col min="10256" max="10496" width="9.140625" style="157"/>
    <col min="10497" max="10497" width="21.42578125" style="157" customWidth="1"/>
    <col min="10498" max="10498" width="47.7109375" style="157" bestFit="1" customWidth="1"/>
    <col min="10499" max="10499" width="11.85546875" style="157" bestFit="1" customWidth="1"/>
    <col min="10500" max="10500" width="47" style="157" bestFit="1" customWidth="1"/>
    <col min="10501" max="10501" width="28.42578125" style="157" bestFit="1" customWidth="1"/>
    <col min="10502" max="10502" width="21.28515625" style="157" bestFit="1" customWidth="1"/>
    <col min="10503" max="10503" width="8.28515625" style="157" customWidth="1"/>
    <col min="10504" max="10504" width="12.85546875" style="157" customWidth="1"/>
    <col min="10505" max="10505" width="11.42578125" style="157" customWidth="1"/>
    <col min="10506" max="10506" width="15.42578125" style="157" customWidth="1"/>
    <col min="10507" max="10508" width="13.42578125" style="157" customWidth="1"/>
    <col min="10509" max="10509" width="15.140625" style="157" bestFit="1" customWidth="1"/>
    <col min="10510" max="10510" width="12.42578125" style="157" customWidth="1"/>
    <col min="10511" max="10511" width="12" style="157" bestFit="1" customWidth="1"/>
    <col min="10512" max="10752" width="9.140625" style="157"/>
    <col min="10753" max="10753" width="21.42578125" style="157" customWidth="1"/>
    <col min="10754" max="10754" width="47.7109375" style="157" bestFit="1" customWidth="1"/>
    <col min="10755" max="10755" width="11.85546875" style="157" bestFit="1" customWidth="1"/>
    <col min="10756" max="10756" width="47" style="157" bestFit="1" customWidth="1"/>
    <col min="10757" max="10757" width="28.42578125" style="157" bestFit="1" customWidth="1"/>
    <col min="10758" max="10758" width="21.28515625" style="157" bestFit="1" customWidth="1"/>
    <col min="10759" max="10759" width="8.28515625" style="157" customWidth="1"/>
    <col min="10760" max="10760" width="12.85546875" style="157" customWidth="1"/>
    <col min="10761" max="10761" width="11.42578125" style="157" customWidth="1"/>
    <col min="10762" max="10762" width="15.42578125" style="157" customWidth="1"/>
    <col min="10763" max="10764" width="13.42578125" style="157" customWidth="1"/>
    <col min="10765" max="10765" width="15.140625" style="157" bestFit="1" customWidth="1"/>
    <col min="10766" max="10766" width="12.42578125" style="157" customWidth="1"/>
    <col min="10767" max="10767" width="12" style="157" bestFit="1" customWidth="1"/>
    <col min="10768" max="11008" width="9.140625" style="157"/>
    <col min="11009" max="11009" width="21.42578125" style="157" customWidth="1"/>
    <col min="11010" max="11010" width="47.7109375" style="157" bestFit="1" customWidth="1"/>
    <col min="11011" max="11011" width="11.85546875" style="157" bestFit="1" customWidth="1"/>
    <col min="11012" max="11012" width="47" style="157" bestFit="1" customWidth="1"/>
    <col min="11013" max="11013" width="28.42578125" style="157" bestFit="1" customWidth="1"/>
    <col min="11014" max="11014" width="21.28515625" style="157" bestFit="1" customWidth="1"/>
    <col min="11015" max="11015" width="8.28515625" style="157" customWidth="1"/>
    <col min="11016" max="11016" width="12.85546875" style="157" customWidth="1"/>
    <col min="11017" max="11017" width="11.42578125" style="157" customWidth="1"/>
    <col min="11018" max="11018" width="15.42578125" style="157" customWidth="1"/>
    <col min="11019" max="11020" width="13.42578125" style="157" customWidth="1"/>
    <col min="11021" max="11021" width="15.140625" style="157" bestFit="1" customWidth="1"/>
    <col min="11022" max="11022" width="12.42578125" style="157" customWidth="1"/>
    <col min="11023" max="11023" width="12" style="157" bestFit="1" customWidth="1"/>
    <col min="11024" max="11264" width="9.140625" style="157"/>
    <col min="11265" max="11265" width="21.42578125" style="157" customWidth="1"/>
    <col min="11266" max="11266" width="47.7109375" style="157" bestFit="1" customWidth="1"/>
    <col min="11267" max="11267" width="11.85546875" style="157" bestFit="1" customWidth="1"/>
    <col min="11268" max="11268" width="47" style="157" bestFit="1" customWidth="1"/>
    <col min="11269" max="11269" width="28.42578125" style="157" bestFit="1" customWidth="1"/>
    <col min="11270" max="11270" width="21.28515625" style="157" bestFit="1" customWidth="1"/>
    <col min="11271" max="11271" width="8.28515625" style="157" customWidth="1"/>
    <col min="11272" max="11272" width="12.85546875" style="157" customWidth="1"/>
    <col min="11273" max="11273" width="11.42578125" style="157" customWidth="1"/>
    <col min="11274" max="11274" width="15.42578125" style="157" customWidth="1"/>
    <col min="11275" max="11276" width="13.42578125" style="157" customWidth="1"/>
    <col min="11277" max="11277" width="15.140625" style="157" bestFit="1" customWidth="1"/>
    <col min="11278" max="11278" width="12.42578125" style="157" customWidth="1"/>
    <col min="11279" max="11279" width="12" style="157" bestFit="1" customWidth="1"/>
    <col min="11280" max="11520" width="9.140625" style="157"/>
    <col min="11521" max="11521" width="21.42578125" style="157" customWidth="1"/>
    <col min="11522" max="11522" width="47.7109375" style="157" bestFit="1" customWidth="1"/>
    <col min="11523" max="11523" width="11.85546875" style="157" bestFit="1" customWidth="1"/>
    <col min="11524" max="11524" width="47" style="157" bestFit="1" customWidth="1"/>
    <col min="11525" max="11525" width="28.42578125" style="157" bestFit="1" customWidth="1"/>
    <col min="11526" max="11526" width="21.28515625" style="157" bestFit="1" customWidth="1"/>
    <col min="11527" max="11527" width="8.28515625" style="157" customWidth="1"/>
    <col min="11528" max="11528" width="12.85546875" style="157" customWidth="1"/>
    <col min="11529" max="11529" width="11.42578125" style="157" customWidth="1"/>
    <col min="11530" max="11530" width="15.42578125" style="157" customWidth="1"/>
    <col min="11531" max="11532" width="13.42578125" style="157" customWidth="1"/>
    <col min="11533" max="11533" width="15.140625" style="157" bestFit="1" customWidth="1"/>
    <col min="11534" max="11534" width="12.42578125" style="157" customWidth="1"/>
    <col min="11535" max="11535" width="12" style="157" bestFit="1" customWidth="1"/>
    <col min="11536" max="11776" width="9.140625" style="157"/>
    <col min="11777" max="11777" width="21.42578125" style="157" customWidth="1"/>
    <col min="11778" max="11778" width="47.7109375" style="157" bestFit="1" customWidth="1"/>
    <col min="11779" max="11779" width="11.85546875" style="157" bestFit="1" customWidth="1"/>
    <col min="11780" max="11780" width="47" style="157" bestFit="1" customWidth="1"/>
    <col min="11781" max="11781" width="28.42578125" style="157" bestFit="1" customWidth="1"/>
    <col min="11782" max="11782" width="21.28515625" style="157" bestFit="1" customWidth="1"/>
    <col min="11783" max="11783" width="8.28515625" style="157" customWidth="1"/>
    <col min="11784" max="11784" width="12.85546875" style="157" customWidth="1"/>
    <col min="11785" max="11785" width="11.42578125" style="157" customWidth="1"/>
    <col min="11786" max="11786" width="15.42578125" style="157" customWidth="1"/>
    <col min="11787" max="11788" width="13.42578125" style="157" customWidth="1"/>
    <col min="11789" max="11789" width="15.140625" style="157" bestFit="1" customWidth="1"/>
    <col min="11790" max="11790" width="12.42578125" style="157" customWidth="1"/>
    <col min="11791" max="11791" width="12" style="157" bestFit="1" customWidth="1"/>
    <col min="11792" max="12032" width="9.140625" style="157"/>
    <col min="12033" max="12033" width="21.42578125" style="157" customWidth="1"/>
    <col min="12034" max="12034" width="47.7109375" style="157" bestFit="1" customWidth="1"/>
    <col min="12035" max="12035" width="11.85546875" style="157" bestFit="1" customWidth="1"/>
    <col min="12036" max="12036" width="47" style="157" bestFit="1" customWidth="1"/>
    <col min="12037" max="12037" width="28.42578125" style="157" bestFit="1" customWidth="1"/>
    <col min="12038" max="12038" width="21.28515625" style="157" bestFit="1" customWidth="1"/>
    <col min="12039" max="12039" width="8.28515625" style="157" customWidth="1"/>
    <col min="12040" max="12040" width="12.85546875" style="157" customWidth="1"/>
    <col min="12041" max="12041" width="11.42578125" style="157" customWidth="1"/>
    <col min="12042" max="12042" width="15.42578125" style="157" customWidth="1"/>
    <col min="12043" max="12044" width="13.42578125" style="157" customWidth="1"/>
    <col min="12045" max="12045" width="15.140625" style="157" bestFit="1" customWidth="1"/>
    <col min="12046" max="12046" width="12.42578125" style="157" customWidth="1"/>
    <col min="12047" max="12047" width="12" style="157" bestFit="1" customWidth="1"/>
    <col min="12048" max="12288" width="9.140625" style="157"/>
    <col min="12289" max="12289" width="21.42578125" style="157" customWidth="1"/>
    <col min="12290" max="12290" width="47.7109375" style="157" bestFit="1" customWidth="1"/>
    <col min="12291" max="12291" width="11.85546875" style="157" bestFit="1" customWidth="1"/>
    <col min="12292" max="12292" width="47" style="157" bestFit="1" customWidth="1"/>
    <col min="12293" max="12293" width="28.42578125" style="157" bestFit="1" customWidth="1"/>
    <col min="12294" max="12294" width="21.28515625" style="157" bestFit="1" customWidth="1"/>
    <col min="12295" max="12295" width="8.28515625" style="157" customWidth="1"/>
    <col min="12296" max="12296" width="12.85546875" style="157" customWidth="1"/>
    <col min="12297" max="12297" width="11.42578125" style="157" customWidth="1"/>
    <col min="12298" max="12298" width="15.42578125" style="157" customWidth="1"/>
    <col min="12299" max="12300" width="13.42578125" style="157" customWidth="1"/>
    <col min="12301" max="12301" width="15.140625" style="157" bestFit="1" customWidth="1"/>
    <col min="12302" max="12302" width="12.42578125" style="157" customWidth="1"/>
    <col min="12303" max="12303" width="12" style="157" bestFit="1" customWidth="1"/>
    <col min="12304" max="12544" width="9.140625" style="157"/>
    <col min="12545" max="12545" width="21.42578125" style="157" customWidth="1"/>
    <col min="12546" max="12546" width="47.7109375" style="157" bestFit="1" customWidth="1"/>
    <col min="12547" max="12547" width="11.85546875" style="157" bestFit="1" customWidth="1"/>
    <col min="12548" max="12548" width="47" style="157" bestFit="1" customWidth="1"/>
    <col min="12549" max="12549" width="28.42578125" style="157" bestFit="1" customWidth="1"/>
    <col min="12550" max="12550" width="21.28515625" style="157" bestFit="1" customWidth="1"/>
    <col min="12551" max="12551" width="8.28515625" style="157" customWidth="1"/>
    <col min="12552" max="12552" width="12.85546875" style="157" customWidth="1"/>
    <col min="12553" max="12553" width="11.42578125" style="157" customWidth="1"/>
    <col min="12554" max="12554" width="15.42578125" style="157" customWidth="1"/>
    <col min="12555" max="12556" width="13.42578125" style="157" customWidth="1"/>
    <col min="12557" max="12557" width="15.140625" style="157" bestFit="1" customWidth="1"/>
    <col min="12558" max="12558" width="12.42578125" style="157" customWidth="1"/>
    <col min="12559" max="12559" width="12" style="157" bestFit="1" customWidth="1"/>
    <col min="12560" max="12800" width="9.140625" style="157"/>
    <col min="12801" max="12801" width="21.42578125" style="157" customWidth="1"/>
    <col min="12802" max="12802" width="47.7109375" style="157" bestFit="1" customWidth="1"/>
    <col min="12803" max="12803" width="11.85546875" style="157" bestFit="1" customWidth="1"/>
    <col min="12804" max="12804" width="47" style="157" bestFit="1" customWidth="1"/>
    <col min="12805" max="12805" width="28.42578125" style="157" bestFit="1" customWidth="1"/>
    <col min="12806" max="12806" width="21.28515625" style="157" bestFit="1" customWidth="1"/>
    <col min="12807" max="12807" width="8.28515625" style="157" customWidth="1"/>
    <col min="12808" max="12808" width="12.85546875" style="157" customWidth="1"/>
    <col min="12809" max="12809" width="11.42578125" style="157" customWidth="1"/>
    <col min="12810" max="12810" width="15.42578125" style="157" customWidth="1"/>
    <col min="12811" max="12812" width="13.42578125" style="157" customWidth="1"/>
    <col min="12813" max="12813" width="15.140625" style="157" bestFit="1" customWidth="1"/>
    <col min="12814" max="12814" width="12.42578125" style="157" customWidth="1"/>
    <col min="12815" max="12815" width="12" style="157" bestFit="1" customWidth="1"/>
    <col min="12816" max="13056" width="9.140625" style="157"/>
    <col min="13057" max="13057" width="21.42578125" style="157" customWidth="1"/>
    <col min="13058" max="13058" width="47.7109375" style="157" bestFit="1" customWidth="1"/>
    <col min="13059" max="13059" width="11.85546875" style="157" bestFit="1" customWidth="1"/>
    <col min="13060" max="13060" width="47" style="157" bestFit="1" customWidth="1"/>
    <col min="13061" max="13061" width="28.42578125" style="157" bestFit="1" customWidth="1"/>
    <col min="13062" max="13062" width="21.28515625" style="157" bestFit="1" customWidth="1"/>
    <col min="13063" max="13063" width="8.28515625" style="157" customWidth="1"/>
    <col min="13064" max="13064" width="12.85546875" style="157" customWidth="1"/>
    <col min="13065" max="13065" width="11.42578125" style="157" customWidth="1"/>
    <col min="13066" max="13066" width="15.42578125" style="157" customWidth="1"/>
    <col min="13067" max="13068" width="13.42578125" style="157" customWidth="1"/>
    <col min="13069" max="13069" width="15.140625" style="157" bestFit="1" customWidth="1"/>
    <col min="13070" max="13070" width="12.42578125" style="157" customWidth="1"/>
    <col min="13071" max="13071" width="12" style="157" bestFit="1" customWidth="1"/>
    <col min="13072" max="13312" width="9.140625" style="157"/>
    <col min="13313" max="13313" width="21.42578125" style="157" customWidth="1"/>
    <col min="13314" max="13314" width="47.7109375" style="157" bestFit="1" customWidth="1"/>
    <col min="13315" max="13315" width="11.85546875" style="157" bestFit="1" customWidth="1"/>
    <col min="13316" max="13316" width="47" style="157" bestFit="1" customWidth="1"/>
    <col min="13317" max="13317" width="28.42578125" style="157" bestFit="1" customWidth="1"/>
    <col min="13318" max="13318" width="21.28515625" style="157" bestFit="1" customWidth="1"/>
    <col min="13319" max="13319" width="8.28515625" style="157" customWidth="1"/>
    <col min="13320" max="13320" width="12.85546875" style="157" customWidth="1"/>
    <col min="13321" max="13321" width="11.42578125" style="157" customWidth="1"/>
    <col min="13322" max="13322" width="15.42578125" style="157" customWidth="1"/>
    <col min="13323" max="13324" width="13.42578125" style="157" customWidth="1"/>
    <col min="13325" max="13325" width="15.140625" style="157" bestFit="1" customWidth="1"/>
    <col min="13326" max="13326" width="12.42578125" style="157" customWidth="1"/>
    <col min="13327" max="13327" width="12" style="157" bestFit="1" customWidth="1"/>
    <col min="13328" max="13568" width="9.140625" style="157"/>
    <col min="13569" max="13569" width="21.42578125" style="157" customWidth="1"/>
    <col min="13570" max="13570" width="47.7109375" style="157" bestFit="1" customWidth="1"/>
    <col min="13571" max="13571" width="11.85546875" style="157" bestFit="1" customWidth="1"/>
    <col min="13572" max="13572" width="47" style="157" bestFit="1" customWidth="1"/>
    <col min="13573" max="13573" width="28.42578125" style="157" bestFit="1" customWidth="1"/>
    <col min="13574" max="13574" width="21.28515625" style="157" bestFit="1" customWidth="1"/>
    <col min="13575" max="13575" width="8.28515625" style="157" customWidth="1"/>
    <col min="13576" max="13576" width="12.85546875" style="157" customWidth="1"/>
    <col min="13577" max="13577" width="11.42578125" style="157" customWidth="1"/>
    <col min="13578" max="13578" width="15.42578125" style="157" customWidth="1"/>
    <col min="13579" max="13580" width="13.42578125" style="157" customWidth="1"/>
    <col min="13581" max="13581" width="15.140625" style="157" bestFit="1" customWidth="1"/>
    <col min="13582" max="13582" width="12.42578125" style="157" customWidth="1"/>
    <col min="13583" max="13583" width="12" style="157" bestFit="1" customWidth="1"/>
    <col min="13584" max="13824" width="9.140625" style="157"/>
    <col min="13825" max="13825" width="21.42578125" style="157" customWidth="1"/>
    <col min="13826" max="13826" width="47.7109375" style="157" bestFit="1" customWidth="1"/>
    <col min="13827" max="13827" width="11.85546875" style="157" bestFit="1" customWidth="1"/>
    <col min="13828" max="13828" width="47" style="157" bestFit="1" customWidth="1"/>
    <col min="13829" max="13829" width="28.42578125" style="157" bestFit="1" customWidth="1"/>
    <col min="13830" max="13830" width="21.28515625" style="157" bestFit="1" customWidth="1"/>
    <col min="13831" max="13831" width="8.28515625" style="157" customWidth="1"/>
    <col min="13832" max="13832" width="12.85546875" style="157" customWidth="1"/>
    <col min="13833" max="13833" width="11.42578125" style="157" customWidth="1"/>
    <col min="13834" max="13834" width="15.42578125" style="157" customWidth="1"/>
    <col min="13835" max="13836" width="13.42578125" style="157" customWidth="1"/>
    <col min="13837" max="13837" width="15.140625" style="157" bestFit="1" customWidth="1"/>
    <col min="13838" max="13838" width="12.42578125" style="157" customWidth="1"/>
    <col min="13839" max="13839" width="12" style="157" bestFit="1" customWidth="1"/>
    <col min="13840" max="14080" width="9.140625" style="157"/>
    <col min="14081" max="14081" width="21.42578125" style="157" customWidth="1"/>
    <col min="14082" max="14082" width="47.7109375" style="157" bestFit="1" customWidth="1"/>
    <col min="14083" max="14083" width="11.85546875" style="157" bestFit="1" customWidth="1"/>
    <col min="14084" max="14084" width="47" style="157" bestFit="1" customWidth="1"/>
    <col min="14085" max="14085" width="28.42578125" style="157" bestFit="1" customWidth="1"/>
    <col min="14086" max="14086" width="21.28515625" style="157" bestFit="1" customWidth="1"/>
    <col min="14087" max="14087" width="8.28515625" style="157" customWidth="1"/>
    <col min="14088" max="14088" width="12.85546875" style="157" customWidth="1"/>
    <col min="14089" max="14089" width="11.42578125" style="157" customWidth="1"/>
    <col min="14090" max="14090" width="15.42578125" style="157" customWidth="1"/>
    <col min="14091" max="14092" width="13.42578125" style="157" customWidth="1"/>
    <col min="14093" max="14093" width="15.140625" style="157" bestFit="1" customWidth="1"/>
    <col min="14094" max="14094" width="12.42578125" style="157" customWidth="1"/>
    <col min="14095" max="14095" width="12" style="157" bestFit="1" customWidth="1"/>
    <col min="14096" max="14336" width="9.140625" style="157"/>
    <col min="14337" max="14337" width="21.42578125" style="157" customWidth="1"/>
    <col min="14338" max="14338" width="47.7109375" style="157" bestFit="1" customWidth="1"/>
    <col min="14339" max="14339" width="11.85546875" style="157" bestFit="1" customWidth="1"/>
    <col min="14340" max="14340" width="47" style="157" bestFit="1" customWidth="1"/>
    <col min="14341" max="14341" width="28.42578125" style="157" bestFit="1" customWidth="1"/>
    <col min="14342" max="14342" width="21.28515625" style="157" bestFit="1" customWidth="1"/>
    <col min="14343" max="14343" width="8.28515625" style="157" customWidth="1"/>
    <col min="14344" max="14344" width="12.85546875" style="157" customWidth="1"/>
    <col min="14345" max="14345" width="11.42578125" style="157" customWidth="1"/>
    <col min="14346" max="14346" width="15.42578125" style="157" customWidth="1"/>
    <col min="14347" max="14348" width="13.42578125" style="157" customWidth="1"/>
    <col min="14349" max="14349" width="15.140625" style="157" bestFit="1" customWidth="1"/>
    <col min="14350" max="14350" width="12.42578125" style="157" customWidth="1"/>
    <col min="14351" max="14351" width="12" style="157" bestFit="1" customWidth="1"/>
    <col min="14352" max="14592" width="9.140625" style="157"/>
    <col min="14593" max="14593" width="21.42578125" style="157" customWidth="1"/>
    <col min="14594" max="14594" width="47.7109375" style="157" bestFit="1" customWidth="1"/>
    <col min="14595" max="14595" width="11.85546875" style="157" bestFit="1" customWidth="1"/>
    <col min="14596" max="14596" width="47" style="157" bestFit="1" customWidth="1"/>
    <col min="14597" max="14597" width="28.42578125" style="157" bestFit="1" customWidth="1"/>
    <col min="14598" max="14598" width="21.28515625" style="157" bestFit="1" customWidth="1"/>
    <col min="14599" max="14599" width="8.28515625" style="157" customWidth="1"/>
    <col min="14600" max="14600" width="12.85546875" style="157" customWidth="1"/>
    <col min="14601" max="14601" width="11.42578125" style="157" customWidth="1"/>
    <col min="14602" max="14602" width="15.42578125" style="157" customWidth="1"/>
    <col min="14603" max="14604" width="13.42578125" style="157" customWidth="1"/>
    <col min="14605" max="14605" width="15.140625" style="157" bestFit="1" customWidth="1"/>
    <col min="14606" max="14606" width="12.42578125" style="157" customWidth="1"/>
    <col min="14607" max="14607" width="12" style="157" bestFit="1" customWidth="1"/>
    <col min="14608" max="14848" width="9.140625" style="157"/>
    <col min="14849" max="14849" width="21.42578125" style="157" customWidth="1"/>
    <col min="14850" max="14850" width="47.7109375" style="157" bestFit="1" customWidth="1"/>
    <col min="14851" max="14851" width="11.85546875" style="157" bestFit="1" customWidth="1"/>
    <col min="14852" max="14852" width="47" style="157" bestFit="1" customWidth="1"/>
    <col min="14853" max="14853" width="28.42578125" style="157" bestFit="1" customWidth="1"/>
    <col min="14854" max="14854" width="21.28515625" style="157" bestFit="1" customWidth="1"/>
    <col min="14855" max="14855" width="8.28515625" style="157" customWidth="1"/>
    <col min="14856" max="14856" width="12.85546875" style="157" customWidth="1"/>
    <col min="14857" max="14857" width="11.42578125" style="157" customWidth="1"/>
    <col min="14858" max="14858" width="15.42578125" style="157" customWidth="1"/>
    <col min="14859" max="14860" width="13.42578125" style="157" customWidth="1"/>
    <col min="14861" max="14861" width="15.140625" style="157" bestFit="1" customWidth="1"/>
    <col min="14862" max="14862" width="12.42578125" style="157" customWidth="1"/>
    <col min="14863" max="14863" width="12" style="157" bestFit="1" customWidth="1"/>
    <col min="14864" max="15104" width="9.140625" style="157"/>
    <col min="15105" max="15105" width="21.42578125" style="157" customWidth="1"/>
    <col min="15106" max="15106" width="47.7109375" style="157" bestFit="1" customWidth="1"/>
    <col min="15107" max="15107" width="11.85546875" style="157" bestFit="1" customWidth="1"/>
    <col min="15108" max="15108" width="47" style="157" bestFit="1" customWidth="1"/>
    <col min="15109" max="15109" width="28.42578125" style="157" bestFit="1" customWidth="1"/>
    <col min="15110" max="15110" width="21.28515625" style="157" bestFit="1" customWidth="1"/>
    <col min="15111" max="15111" width="8.28515625" style="157" customWidth="1"/>
    <col min="15112" max="15112" width="12.85546875" style="157" customWidth="1"/>
    <col min="15113" max="15113" width="11.42578125" style="157" customWidth="1"/>
    <col min="15114" max="15114" width="15.42578125" style="157" customWidth="1"/>
    <col min="15115" max="15116" width="13.42578125" style="157" customWidth="1"/>
    <col min="15117" max="15117" width="15.140625" style="157" bestFit="1" customWidth="1"/>
    <col min="15118" max="15118" width="12.42578125" style="157" customWidth="1"/>
    <col min="15119" max="15119" width="12" style="157" bestFit="1" customWidth="1"/>
    <col min="15120" max="15360" width="9.140625" style="157"/>
    <col min="15361" max="15361" width="21.42578125" style="157" customWidth="1"/>
    <col min="15362" max="15362" width="47.7109375" style="157" bestFit="1" customWidth="1"/>
    <col min="15363" max="15363" width="11.85546875" style="157" bestFit="1" customWidth="1"/>
    <col min="15364" max="15364" width="47" style="157" bestFit="1" customWidth="1"/>
    <col min="15365" max="15365" width="28.42578125" style="157" bestFit="1" customWidth="1"/>
    <col min="15366" max="15366" width="21.28515625" style="157" bestFit="1" customWidth="1"/>
    <col min="15367" max="15367" width="8.28515625" style="157" customWidth="1"/>
    <col min="15368" max="15368" width="12.85546875" style="157" customWidth="1"/>
    <col min="15369" max="15369" width="11.42578125" style="157" customWidth="1"/>
    <col min="15370" max="15370" width="15.42578125" style="157" customWidth="1"/>
    <col min="15371" max="15372" width="13.42578125" style="157" customWidth="1"/>
    <col min="15373" max="15373" width="15.140625" style="157" bestFit="1" customWidth="1"/>
    <col min="15374" max="15374" width="12.42578125" style="157" customWidth="1"/>
    <col min="15375" max="15375" width="12" style="157" bestFit="1" customWidth="1"/>
    <col min="15376" max="15616" width="9.140625" style="157"/>
    <col min="15617" max="15617" width="21.42578125" style="157" customWidth="1"/>
    <col min="15618" max="15618" width="47.7109375" style="157" bestFit="1" customWidth="1"/>
    <col min="15619" max="15619" width="11.85546875" style="157" bestFit="1" customWidth="1"/>
    <col min="15620" max="15620" width="47" style="157" bestFit="1" customWidth="1"/>
    <col min="15621" max="15621" width="28.42578125" style="157" bestFit="1" customWidth="1"/>
    <col min="15622" max="15622" width="21.28515625" style="157" bestFit="1" customWidth="1"/>
    <col min="15623" max="15623" width="8.28515625" style="157" customWidth="1"/>
    <col min="15624" max="15624" width="12.85546875" style="157" customWidth="1"/>
    <col min="15625" max="15625" width="11.42578125" style="157" customWidth="1"/>
    <col min="15626" max="15626" width="15.42578125" style="157" customWidth="1"/>
    <col min="15627" max="15628" width="13.42578125" style="157" customWidth="1"/>
    <col min="15629" max="15629" width="15.140625" style="157" bestFit="1" customWidth="1"/>
    <col min="15630" max="15630" width="12.42578125" style="157" customWidth="1"/>
    <col min="15631" max="15631" width="12" style="157" bestFit="1" customWidth="1"/>
    <col min="15632" max="15872" width="9.140625" style="157"/>
    <col min="15873" max="15873" width="21.42578125" style="157" customWidth="1"/>
    <col min="15874" max="15874" width="47.7109375" style="157" bestFit="1" customWidth="1"/>
    <col min="15875" max="15875" width="11.85546875" style="157" bestFit="1" customWidth="1"/>
    <col min="15876" max="15876" width="47" style="157" bestFit="1" customWidth="1"/>
    <col min="15877" max="15877" width="28.42578125" style="157" bestFit="1" customWidth="1"/>
    <col min="15878" max="15878" width="21.28515625" style="157" bestFit="1" customWidth="1"/>
    <col min="15879" max="15879" width="8.28515625" style="157" customWidth="1"/>
    <col min="15880" max="15880" width="12.85546875" style="157" customWidth="1"/>
    <col min="15881" max="15881" width="11.42578125" style="157" customWidth="1"/>
    <col min="15882" max="15882" width="15.42578125" style="157" customWidth="1"/>
    <col min="15883" max="15884" width="13.42578125" style="157" customWidth="1"/>
    <col min="15885" max="15885" width="15.140625" style="157" bestFit="1" customWidth="1"/>
    <col min="15886" max="15886" width="12.42578125" style="157" customWidth="1"/>
    <col min="15887" max="15887" width="12" style="157" bestFit="1" customWidth="1"/>
    <col min="15888" max="16128" width="9.140625" style="157"/>
    <col min="16129" max="16129" width="21.42578125" style="157" customWidth="1"/>
    <col min="16130" max="16130" width="47.7109375" style="157" bestFit="1" customWidth="1"/>
    <col min="16131" max="16131" width="11.85546875" style="157" bestFit="1" customWidth="1"/>
    <col min="16132" max="16132" width="47" style="157" bestFit="1" customWidth="1"/>
    <col min="16133" max="16133" width="28.42578125" style="157" bestFit="1" customWidth="1"/>
    <col min="16134" max="16134" width="21.28515625" style="157" bestFit="1" customWidth="1"/>
    <col min="16135" max="16135" width="8.28515625" style="157" customWidth="1"/>
    <col min="16136" max="16136" width="12.85546875" style="157" customWidth="1"/>
    <col min="16137" max="16137" width="11.42578125" style="157" customWidth="1"/>
    <col min="16138" max="16138" width="15.42578125" style="157" customWidth="1"/>
    <col min="16139" max="16140" width="13.42578125" style="157" customWidth="1"/>
    <col min="16141" max="16141" width="15.140625" style="157" bestFit="1" customWidth="1"/>
    <col min="16142" max="16142" width="12.42578125" style="157" customWidth="1"/>
    <col min="16143" max="16143" width="12" style="157" bestFit="1" customWidth="1"/>
    <col min="16144" max="16384" width="9.140625" style="157"/>
  </cols>
  <sheetData>
    <row r="1" spans="1:17" ht="38.450000000000003" customHeight="1" thickBot="1" x14ac:dyDescent="0.3">
      <c r="A1" s="181" t="s">
        <v>1022</v>
      </c>
      <c r="B1" s="179" t="s">
        <v>1021</v>
      </c>
      <c r="C1" s="179" t="s">
        <v>1020</v>
      </c>
      <c r="D1" s="179" t="s">
        <v>1019</v>
      </c>
      <c r="E1" s="179" t="s">
        <v>1018</v>
      </c>
      <c r="F1" s="180" t="s">
        <v>134</v>
      </c>
      <c r="G1" s="179" t="s">
        <v>1017</v>
      </c>
      <c r="H1" s="178" t="s">
        <v>1016</v>
      </c>
      <c r="I1" s="178" t="s">
        <v>1015</v>
      </c>
      <c r="J1" s="178" t="s">
        <v>1014</v>
      </c>
      <c r="K1" s="178" t="s">
        <v>1013</v>
      </c>
      <c r="L1" s="178" t="s">
        <v>1012</v>
      </c>
      <c r="M1" s="178" t="s">
        <v>1011</v>
      </c>
      <c r="N1" s="178" t="s">
        <v>1010</v>
      </c>
      <c r="O1" s="178" t="s">
        <v>1009</v>
      </c>
    </row>
    <row r="2" spans="1:17" x14ac:dyDescent="0.25">
      <c r="A2" s="177" t="s">
        <v>1008</v>
      </c>
      <c r="B2" s="177" t="s">
        <v>1007</v>
      </c>
      <c r="C2" s="176" t="s">
        <v>722</v>
      </c>
      <c r="D2" s="176" t="s">
        <v>1006</v>
      </c>
      <c r="E2" s="176" t="s">
        <v>1005</v>
      </c>
      <c r="F2" s="175" t="s">
        <v>719</v>
      </c>
      <c r="G2" s="174">
        <v>2017</v>
      </c>
      <c r="H2" s="173">
        <v>0.8</v>
      </c>
      <c r="I2" s="173">
        <v>6714</v>
      </c>
      <c r="J2" s="173">
        <v>0</v>
      </c>
      <c r="K2" s="173">
        <v>6714</v>
      </c>
      <c r="L2" s="173">
        <v>618.04499999999996</v>
      </c>
      <c r="M2" s="173">
        <v>6714</v>
      </c>
      <c r="N2" s="173">
        <v>7332.0450000000001</v>
      </c>
      <c r="O2" s="173">
        <v>0</v>
      </c>
    </row>
    <row r="3" spans="1:17" ht="24.75" x14ac:dyDescent="0.25">
      <c r="A3" s="172" t="s">
        <v>1004</v>
      </c>
      <c r="B3" s="170" t="s">
        <v>1003</v>
      </c>
      <c r="C3" s="169" t="s">
        <v>722</v>
      </c>
      <c r="D3" s="169" t="s">
        <v>1002</v>
      </c>
      <c r="E3" s="169" t="s">
        <v>720</v>
      </c>
      <c r="F3" s="168" t="s">
        <v>719</v>
      </c>
      <c r="G3" s="167">
        <v>2017</v>
      </c>
      <c r="H3" s="165">
        <v>50</v>
      </c>
      <c r="I3" s="165">
        <v>219994.41958027426</v>
      </c>
      <c r="J3" s="165">
        <v>22710.417639536259</v>
      </c>
      <c r="K3" s="165">
        <v>197284.00194073797</v>
      </c>
      <c r="L3" s="165">
        <v>5840.2598730960008</v>
      </c>
      <c r="M3" s="165">
        <v>197284.00194073797</v>
      </c>
      <c r="N3" s="165">
        <v>0</v>
      </c>
      <c r="O3" s="165">
        <v>197284.00194073797</v>
      </c>
    </row>
    <row r="4" spans="1:17" x14ac:dyDescent="0.25">
      <c r="A4" s="172" t="s">
        <v>1001</v>
      </c>
      <c r="B4" s="170" t="s">
        <v>1000</v>
      </c>
      <c r="C4" s="169" t="s">
        <v>722</v>
      </c>
      <c r="D4" s="169" t="s">
        <v>999</v>
      </c>
      <c r="E4" s="169" t="s">
        <v>725</v>
      </c>
      <c r="F4" s="168" t="s">
        <v>719</v>
      </c>
      <c r="G4" s="167">
        <v>2017</v>
      </c>
      <c r="H4" s="165">
        <v>75</v>
      </c>
      <c r="I4" s="165">
        <v>154104.08960499999</v>
      </c>
      <c r="J4" s="165">
        <v>0</v>
      </c>
      <c r="K4" s="165">
        <v>154104.08960499999</v>
      </c>
      <c r="L4" s="165">
        <v>1044.923</v>
      </c>
      <c r="M4" s="165">
        <v>153059.16660499998</v>
      </c>
      <c r="N4" s="165">
        <v>0</v>
      </c>
      <c r="O4" s="165">
        <v>153059.16660499998</v>
      </c>
    </row>
    <row r="5" spans="1:17" x14ac:dyDescent="0.25">
      <c r="A5" s="170" t="s">
        <v>781</v>
      </c>
      <c r="B5" s="170" t="s">
        <v>998</v>
      </c>
      <c r="C5" s="169" t="s">
        <v>722</v>
      </c>
      <c r="D5" s="169" t="s">
        <v>997</v>
      </c>
      <c r="E5" s="169" t="s">
        <v>725</v>
      </c>
      <c r="F5" s="168" t="s">
        <v>719</v>
      </c>
      <c r="G5" s="167">
        <v>2017</v>
      </c>
      <c r="H5" s="165">
        <v>10</v>
      </c>
      <c r="I5" s="165">
        <v>27156.503880000004</v>
      </c>
      <c r="J5" s="165">
        <v>0</v>
      </c>
      <c r="K5" s="165">
        <v>27156.503880000004</v>
      </c>
      <c r="L5" s="165">
        <v>102.50676</v>
      </c>
      <c r="M5" s="165">
        <v>27156.503880000004</v>
      </c>
      <c r="N5" s="165">
        <v>31.231999999999999</v>
      </c>
      <c r="O5" s="165">
        <v>27156.503880000004</v>
      </c>
    </row>
    <row r="6" spans="1:17" x14ac:dyDescent="0.25">
      <c r="A6" s="170" t="s">
        <v>996</v>
      </c>
      <c r="B6" s="170" t="s">
        <v>995</v>
      </c>
      <c r="C6" s="169" t="s">
        <v>722</v>
      </c>
      <c r="D6" s="169" t="s">
        <v>994</v>
      </c>
      <c r="E6" s="169" t="s">
        <v>725</v>
      </c>
      <c r="F6" s="168" t="s">
        <v>719</v>
      </c>
      <c r="G6" s="167">
        <v>2017</v>
      </c>
      <c r="H6" s="165">
        <v>19.98</v>
      </c>
      <c r="I6" s="165">
        <v>53326.645520000005</v>
      </c>
      <c r="J6" s="165">
        <v>0</v>
      </c>
      <c r="K6" s="165">
        <v>53326.645520000005</v>
      </c>
      <c r="L6" s="165">
        <v>181.5196</v>
      </c>
      <c r="M6" s="165">
        <v>53326.645520000005</v>
      </c>
      <c r="N6" s="165">
        <v>33.695</v>
      </c>
      <c r="O6" s="165">
        <v>53326.645520000005</v>
      </c>
    </row>
    <row r="7" spans="1:17" x14ac:dyDescent="0.25">
      <c r="A7" s="170" t="s">
        <v>993</v>
      </c>
      <c r="B7" s="170" t="s">
        <v>992</v>
      </c>
      <c r="C7" s="169" t="s">
        <v>722</v>
      </c>
      <c r="D7" s="169" t="s">
        <v>486</v>
      </c>
      <c r="E7" s="169" t="s">
        <v>140</v>
      </c>
      <c r="F7" s="168" t="s">
        <v>719</v>
      </c>
      <c r="G7" s="167">
        <v>2017</v>
      </c>
      <c r="H7" s="165">
        <v>600</v>
      </c>
      <c r="I7" s="165">
        <v>1636523</v>
      </c>
      <c r="J7" s="165">
        <v>138108</v>
      </c>
      <c r="K7" s="165">
        <v>1498595</v>
      </c>
      <c r="L7" s="165">
        <v>0</v>
      </c>
      <c r="M7" s="165">
        <v>1498595</v>
      </c>
      <c r="N7" s="165">
        <v>0</v>
      </c>
      <c r="O7" s="165">
        <v>1498595</v>
      </c>
      <c r="P7" s="157">
        <f>O7/(H7*8760)</f>
        <v>0.28512081430745817</v>
      </c>
    </row>
    <row r="8" spans="1:17" x14ac:dyDescent="0.25">
      <c r="A8" s="170" t="s">
        <v>991</v>
      </c>
      <c r="B8" s="170" t="s">
        <v>990</v>
      </c>
      <c r="C8" s="169" t="s">
        <v>722</v>
      </c>
      <c r="D8" s="169" t="s">
        <v>989</v>
      </c>
      <c r="E8" s="169" t="s">
        <v>239</v>
      </c>
      <c r="F8" s="168" t="s">
        <v>719</v>
      </c>
      <c r="G8" s="167">
        <v>2017</v>
      </c>
      <c r="H8" s="165">
        <v>133.69999999999999</v>
      </c>
      <c r="I8" s="165">
        <v>418544.17599999998</v>
      </c>
      <c r="J8" s="165">
        <v>0</v>
      </c>
      <c r="K8" s="165">
        <v>418544.17599999998</v>
      </c>
      <c r="L8" s="165">
        <v>266.45</v>
      </c>
      <c r="M8" s="165">
        <v>413188.87000000005</v>
      </c>
      <c r="N8" s="165">
        <v>251.95300000000003</v>
      </c>
      <c r="O8" s="165">
        <v>410001.85000000003</v>
      </c>
    </row>
    <row r="9" spans="1:17" x14ac:dyDescent="0.25">
      <c r="A9" s="170" t="s">
        <v>988</v>
      </c>
      <c r="B9" s="170" t="s">
        <v>987</v>
      </c>
      <c r="C9" s="169" t="s">
        <v>722</v>
      </c>
      <c r="D9" s="169" t="s">
        <v>986</v>
      </c>
      <c r="E9" s="169" t="s">
        <v>239</v>
      </c>
      <c r="F9" s="168" t="s">
        <v>719</v>
      </c>
      <c r="G9" s="167">
        <v>2017</v>
      </c>
      <c r="H9" s="165">
        <v>90.8</v>
      </c>
      <c r="I9" s="165">
        <v>316737.04970936204</v>
      </c>
      <c r="J9" s="165">
        <v>0</v>
      </c>
      <c r="K9" s="165">
        <v>316737.04970936204</v>
      </c>
      <c r="L9" s="165">
        <v>340.16972000000004</v>
      </c>
      <c r="M9" s="165">
        <v>316396.87998936203</v>
      </c>
      <c r="N9" s="165">
        <v>298.43577000000005</v>
      </c>
      <c r="O9" s="165">
        <v>316737.04970936204</v>
      </c>
    </row>
    <row r="10" spans="1:17" x14ac:dyDescent="0.25">
      <c r="A10" s="170" t="s">
        <v>985</v>
      </c>
      <c r="B10" s="170" t="s">
        <v>984</v>
      </c>
      <c r="C10" s="169" t="s">
        <v>722</v>
      </c>
      <c r="D10" s="169" t="s">
        <v>983</v>
      </c>
      <c r="E10" s="169" t="s">
        <v>725</v>
      </c>
      <c r="F10" s="168" t="s">
        <v>719</v>
      </c>
      <c r="G10" s="167">
        <v>2017</v>
      </c>
      <c r="H10" s="165">
        <v>9</v>
      </c>
      <c r="I10" s="165">
        <v>19617.45</v>
      </c>
      <c r="J10" s="165">
        <v>95.742999999999995</v>
      </c>
      <c r="K10" s="165">
        <v>19713.193000000003</v>
      </c>
      <c r="L10" s="165">
        <v>0</v>
      </c>
      <c r="M10" s="165">
        <v>19617.45</v>
      </c>
      <c r="N10" s="165">
        <v>0</v>
      </c>
      <c r="O10" s="165">
        <v>19617.45</v>
      </c>
    </row>
    <row r="11" spans="1:17" x14ac:dyDescent="0.25">
      <c r="A11" s="170" t="s">
        <v>982</v>
      </c>
      <c r="B11" s="170" t="s">
        <v>981</v>
      </c>
      <c r="C11" s="169" t="s">
        <v>722</v>
      </c>
      <c r="D11" s="169" t="s">
        <v>980</v>
      </c>
      <c r="E11" s="169" t="s">
        <v>785</v>
      </c>
      <c r="F11" s="168" t="s">
        <v>719</v>
      </c>
      <c r="G11" s="167">
        <v>2017</v>
      </c>
      <c r="H11" s="165">
        <v>670</v>
      </c>
      <c r="I11" s="165">
        <v>75875.199999999997</v>
      </c>
      <c r="J11" s="165">
        <v>551.29000000000178</v>
      </c>
      <c r="K11" s="165">
        <v>75323.91</v>
      </c>
      <c r="L11" s="165">
        <v>13773.310000000001</v>
      </c>
      <c r="M11" s="165">
        <v>75323.91</v>
      </c>
      <c r="N11" s="165">
        <v>0</v>
      </c>
      <c r="O11" s="165">
        <v>75323.91</v>
      </c>
      <c r="P11" s="157">
        <f>O11/(H11*8760)</f>
        <v>1.2833760989572686E-2</v>
      </c>
      <c r="Q11" s="157">
        <f>(O11+O27)/0.3*3.6/1000000</f>
        <v>1.4165200800000002</v>
      </c>
    </row>
    <row r="12" spans="1:17" x14ac:dyDescent="0.25">
      <c r="A12" s="170" t="s">
        <v>978</v>
      </c>
      <c r="B12" s="170" t="s">
        <v>977</v>
      </c>
      <c r="C12" s="169" t="s">
        <v>722</v>
      </c>
      <c r="D12" s="169" t="s">
        <v>979</v>
      </c>
      <c r="E12" s="169" t="s">
        <v>754</v>
      </c>
      <c r="F12" s="168" t="s">
        <v>719</v>
      </c>
      <c r="G12" s="167">
        <v>2017</v>
      </c>
      <c r="H12" s="165">
        <v>4</v>
      </c>
      <c r="I12" s="165">
        <v>27547.777999999998</v>
      </c>
      <c r="J12" s="165">
        <v>0</v>
      </c>
      <c r="K12" s="165">
        <v>27547.777999999998</v>
      </c>
      <c r="L12" s="165">
        <v>0</v>
      </c>
      <c r="M12" s="165">
        <v>27547.777999999998</v>
      </c>
      <c r="N12" s="165">
        <v>11.9</v>
      </c>
      <c r="O12" s="165">
        <v>27535.878000000001</v>
      </c>
    </row>
    <row r="13" spans="1:17" x14ac:dyDescent="0.25">
      <c r="A13" s="170" t="s">
        <v>978</v>
      </c>
      <c r="B13" s="170" t="s">
        <v>977</v>
      </c>
      <c r="C13" s="169" t="s">
        <v>722</v>
      </c>
      <c r="D13" s="169" t="s">
        <v>976</v>
      </c>
      <c r="E13" s="169" t="s">
        <v>754</v>
      </c>
      <c r="F13" s="168" t="s">
        <v>719</v>
      </c>
      <c r="G13" s="167">
        <v>2017</v>
      </c>
      <c r="H13" s="165">
        <v>3</v>
      </c>
      <c r="I13" s="165">
        <v>17168.920000000002</v>
      </c>
      <c r="J13" s="165">
        <v>0</v>
      </c>
      <c r="K13" s="165">
        <v>17168.920000000002</v>
      </c>
      <c r="L13" s="165">
        <v>0</v>
      </c>
      <c r="M13" s="165">
        <v>17168.920000000002</v>
      </c>
      <c r="N13" s="165">
        <v>8.2999999999999989</v>
      </c>
      <c r="O13" s="165">
        <v>17160.62</v>
      </c>
    </row>
    <row r="14" spans="1:17" x14ac:dyDescent="0.25">
      <c r="A14" s="170" t="s">
        <v>975</v>
      </c>
      <c r="B14" s="170" t="s">
        <v>974</v>
      </c>
      <c r="C14" s="169" t="s">
        <v>722</v>
      </c>
      <c r="D14" s="169" t="s">
        <v>973</v>
      </c>
      <c r="E14" s="169" t="s">
        <v>239</v>
      </c>
      <c r="F14" s="168" t="s">
        <v>719</v>
      </c>
      <c r="G14" s="167">
        <v>2017</v>
      </c>
      <c r="H14" s="165">
        <v>135.19999999999999</v>
      </c>
      <c r="I14" s="165">
        <v>369651.24549999996</v>
      </c>
      <c r="J14" s="165">
        <v>0</v>
      </c>
      <c r="K14" s="165">
        <v>369651.24549999996</v>
      </c>
      <c r="L14" s="165">
        <v>0</v>
      </c>
      <c r="M14" s="165">
        <v>369651.24549999996</v>
      </c>
      <c r="N14" s="165">
        <v>3425.373</v>
      </c>
      <c r="O14" s="165">
        <v>369651.24549999996</v>
      </c>
    </row>
    <row r="15" spans="1:17" x14ac:dyDescent="0.25">
      <c r="A15" s="170" t="s">
        <v>972</v>
      </c>
      <c r="B15" s="170" t="s">
        <v>971</v>
      </c>
      <c r="C15" s="169" t="s">
        <v>722</v>
      </c>
      <c r="D15" s="169" t="s">
        <v>970</v>
      </c>
      <c r="E15" s="169" t="s">
        <v>127</v>
      </c>
      <c r="F15" s="168" t="s">
        <v>719</v>
      </c>
      <c r="G15" s="167">
        <v>2017</v>
      </c>
      <c r="H15" s="165">
        <v>4.2</v>
      </c>
      <c r="I15" s="165">
        <v>22425.900969999999</v>
      </c>
      <c r="J15" s="165">
        <v>3331.0259999999998</v>
      </c>
      <c r="K15" s="165">
        <v>19094.874970000001</v>
      </c>
      <c r="L15" s="165">
        <v>0</v>
      </c>
      <c r="M15" s="165">
        <v>19094.874970000001</v>
      </c>
      <c r="N15" s="165">
        <v>0</v>
      </c>
      <c r="O15" s="165">
        <v>19094.874970000001</v>
      </c>
    </row>
    <row r="16" spans="1:17" x14ac:dyDescent="0.25">
      <c r="A16" s="170" t="s">
        <v>969</v>
      </c>
      <c r="B16" s="170" t="s">
        <v>968</v>
      </c>
      <c r="C16" s="169" t="s">
        <v>722</v>
      </c>
      <c r="D16" s="169" t="s">
        <v>967</v>
      </c>
      <c r="E16" s="169" t="s">
        <v>239</v>
      </c>
      <c r="F16" s="168" t="s">
        <v>719</v>
      </c>
      <c r="G16" s="167">
        <v>2017</v>
      </c>
      <c r="H16" s="165">
        <v>21</v>
      </c>
      <c r="I16" s="165">
        <v>58298.190480000012</v>
      </c>
      <c r="J16" s="165">
        <v>0</v>
      </c>
      <c r="K16" s="165">
        <v>58297.562100000003</v>
      </c>
      <c r="L16" s="165">
        <v>141.80405029999997</v>
      </c>
      <c r="M16" s="165">
        <v>58155.982689699995</v>
      </c>
      <c r="N16" s="165">
        <v>0</v>
      </c>
      <c r="O16" s="165">
        <v>58155.982689699995</v>
      </c>
    </row>
    <row r="17" spans="1:16" x14ac:dyDescent="0.25">
      <c r="A17" s="171" t="s">
        <v>964</v>
      </c>
      <c r="B17" s="170" t="s">
        <v>963</v>
      </c>
      <c r="C17" s="169" t="s">
        <v>756</v>
      </c>
      <c r="D17" s="169" t="s">
        <v>966</v>
      </c>
      <c r="E17" s="169" t="s">
        <v>785</v>
      </c>
      <c r="F17" s="168" t="s">
        <v>719</v>
      </c>
      <c r="G17" s="167">
        <v>2017</v>
      </c>
      <c r="H17" s="165">
        <v>40</v>
      </c>
      <c r="I17" s="165">
        <v>0</v>
      </c>
      <c r="J17" s="165">
        <v>64.407000000000011</v>
      </c>
      <c r="K17" s="165">
        <v>-64.407000000000011</v>
      </c>
      <c r="L17" s="165">
        <v>0</v>
      </c>
      <c r="M17" s="165">
        <v>-64.407000000000011</v>
      </c>
      <c r="N17" s="165">
        <v>0</v>
      </c>
      <c r="O17" s="165">
        <v>0</v>
      </c>
      <c r="P17" s="157">
        <f>O17/(H17*8760)</f>
        <v>0</v>
      </c>
    </row>
    <row r="18" spans="1:16" x14ac:dyDescent="0.25">
      <c r="A18" s="171" t="s">
        <v>964</v>
      </c>
      <c r="B18" s="170" t="s">
        <v>963</v>
      </c>
      <c r="C18" s="169" t="s">
        <v>756</v>
      </c>
      <c r="D18" s="169" t="s">
        <v>965</v>
      </c>
      <c r="E18" s="169" t="s">
        <v>785</v>
      </c>
      <c r="F18" s="168" t="s">
        <v>719</v>
      </c>
      <c r="G18" s="167">
        <v>2017</v>
      </c>
      <c r="H18" s="165">
        <v>40</v>
      </c>
      <c r="I18" s="165">
        <v>6.4</v>
      </c>
      <c r="J18" s="165">
        <v>11.744</v>
      </c>
      <c r="K18" s="165">
        <v>-5.3440000000000003</v>
      </c>
      <c r="L18" s="165">
        <v>0</v>
      </c>
      <c r="M18" s="165">
        <v>-5.3440000000000003</v>
      </c>
      <c r="N18" s="165">
        <v>0</v>
      </c>
      <c r="O18" s="165">
        <v>0</v>
      </c>
      <c r="P18" s="157">
        <f>O18/(H18*8760)</f>
        <v>0</v>
      </c>
    </row>
    <row r="19" spans="1:16" x14ac:dyDescent="0.25">
      <c r="A19" s="171" t="s">
        <v>964</v>
      </c>
      <c r="B19" s="170" t="s">
        <v>963</v>
      </c>
      <c r="C19" s="169" t="s">
        <v>756</v>
      </c>
      <c r="D19" s="169" t="s">
        <v>962</v>
      </c>
      <c r="E19" s="169" t="s">
        <v>916</v>
      </c>
      <c r="F19" s="168" t="s">
        <v>719</v>
      </c>
      <c r="G19" s="167">
        <v>2017</v>
      </c>
      <c r="H19" s="165">
        <v>180</v>
      </c>
      <c r="I19" s="165">
        <v>18289.125000000004</v>
      </c>
      <c r="J19" s="165">
        <v>237.92500000000001</v>
      </c>
      <c r="K19" s="165">
        <v>18051.2</v>
      </c>
      <c r="L19" s="165">
        <v>25738.999999999996</v>
      </c>
      <c r="M19" s="165">
        <v>-7687.7999999999993</v>
      </c>
      <c r="N19" s="165">
        <v>0</v>
      </c>
      <c r="O19" s="165">
        <v>0</v>
      </c>
    </row>
    <row r="20" spans="1:16" x14ac:dyDescent="0.25">
      <c r="A20" s="170" t="s">
        <v>960</v>
      </c>
      <c r="B20" s="170" t="s">
        <v>959</v>
      </c>
      <c r="C20" s="169" t="s">
        <v>756</v>
      </c>
      <c r="D20" s="169" t="s">
        <v>961</v>
      </c>
      <c r="E20" s="169" t="s">
        <v>140</v>
      </c>
      <c r="F20" s="168" t="s">
        <v>719</v>
      </c>
      <c r="G20" s="167">
        <v>2017</v>
      </c>
      <c r="H20" s="165">
        <v>300</v>
      </c>
      <c r="I20" s="165">
        <v>0</v>
      </c>
      <c r="J20" s="165">
        <v>0</v>
      </c>
      <c r="K20" s="165">
        <v>0</v>
      </c>
      <c r="L20" s="165">
        <v>5114.3999999999996</v>
      </c>
      <c r="M20" s="165">
        <v>-5114.3999999999996</v>
      </c>
      <c r="N20" s="165">
        <v>0</v>
      </c>
      <c r="O20" s="165">
        <v>-5114.3999999999996</v>
      </c>
    </row>
    <row r="21" spans="1:16" x14ac:dyDescent="0.25">
      <c r="A21" s="170" t="s">
        <v>960</v>
      </c>
      <c r="B21" s="170" t="s">
        <v>959</v>
      </c>
      <c r="C21" s="169" t="s">
        <v>756</v>
      </c>
      <c r="D21" s="169" t="s">
        <v>958</v>
      </c>
      <c r="E21" s="169" t="s">
        <v>957</v>
      </c>
      <c r="F21" s="168" t="s">
        <v>719</v>
      </c>
      <c r="G21" s="167">
        <v>2017</v>
      </c>
      <c r="H21" s="165">
        <v>204</v>
      </c>
      <c r="I21" s="165">
        <v>20347</v>
      </c>
      <c r="J21" s="165">
        <v>0</v>
      </c>
      <c r="K21" s="165">
        <v>20347</v>
      </c>
      <c r="L21" s="165">
        <v>1434</v>
      </c>
      <c r="M21" s="165">
        <v>18913</v>
      </c>
      <c r="N21" s="165">
        <v>5389</v>
      </c>
      <c r="O21" s="165">
        <v>13524</v>
      </c>
    </row>
    <row r="22" spans="1:16" x14ac:dyDescent="0.25">
      <c r="A22" s="170" t="s">
        <v>956</v>
      </c>
      <c r="B22" s="170" t="s">
        <v>955</v>
      </c>
      <c r="C22" s="169" t="s">
        <v>722</v>
      </c>
      <c r="D22" s="169" t="s">
        <v>954</v>
      </c>
      <c r="E22" s="169" t="s">
        <v>754</v>
      </c>
      <c r="F22" s="168" t="s">
        <v>719</v>
      </c>
      <c r="G22" s="167">
        <v>2017</v>
      </c>
      <c r="H22" s="165">
        <v>1.5</v>
      </c>
      <c r="I22" s="165">
        <v>5141.7699999999995</v>
      </c>
      <c r="J22" s="165">
        <v>61.4</v>
      </c>
      <c r="K22" s="165">
        <v>5080.3700000000008</v>
      </c>
      <c r="L22" s="165">
        <v>0</v>
      </c>
      <c r="M22" s="165">
        <v>5080.3700000000008</v>
      </c>
      <c r="N22" s="165">
        <v>0</v>
      </c>
      <c r="O22" s="165">
        <v>5080.3700000000008</v>
      </c>
    </row>
    <row r="23" spans="1:16" x14ac:dyDescent="0.25">
      <c r="A23" s="170" t="s">
        <v>953</v>
      </c>
      <c r="B23" s="170" t="s">
        <v>952</v>
      </c>
      <c r="C23" s="169" t="s">
        <v>722</v>
      </c>
      <c r="D23" s="169" t="s">
        <v>952</v>
      </c>
      <c r="E23" s="169" t="s">
        <v>725</v>
      </c>
      <c r="F23" s="168" t="s">
        <v>719</v>
      </c>
      <c r="G23" s="167">
        <v>2017</v>
      </c>
      <c r="H23" s="165">
        <v>30</v>
      </c>
      <c r="I23" s="165">
        <v>61117.127480000017</v>
      </c>
      <c r="J23" s="165">
        <v>0</v>
      </c>
      <c r="K23" s="165">
        <v>61117.127480000017</v>
      </c>
      <c r="L23" s="165">
        <v>375.8225291177913</v>
      </c>
      <c r="M23" s="165">
        <v>60741.304950882222</v>
      </c>
      <c r="N23" s="165">
        <v>0</v>
      </c>
      <c r="O23" s="165">
        <v>60741.304950882222</v>
      </c>
    </row>
    <row r="24" spans="1:16" x14ac:dyDescent="0.25">
      <c r="A24" s="170" t="s">
        <v>951</v>
      </c>
      <c r="B24" s="170" t="s">
        <v>950</v>
      </c>
      <c r="C24" s="169" t="s">
        <v>722</v>
      </c>
      <c r="D24" s="169" t="s">
        <v>949</v>
      </c>
      <c r="E24" s="169" t="s">
        <v>239</v>
      </c>
      <c r="F24" s="168" t="s">
        <v>719</v>
      </c>
      <c r="G24" s="167">
        <v>2017</v>
      </c>
      <c r="H24" s="165">
        <v>75</v>
      </c>
      <c r="I24" s="165">
        <v>196760.74800000002</v>
      </c>
      <c r="J24" s="165">
        <v>490.4</v>
      </c>
      <c r="K24" s="165">
        <v>196270.34800000003</v>
      </c>
      <c r="L24" s="165">
        <v>0</v>
      </c>
      <c r="M24" s="165">
        <v>196270.34800000003</v>
      </c>
      <c r="N24" s="165">
        <v>490.4</v>
      </c>
      <c r="O24" s="165">
        <v>196270.34800000003</v>
      </c>
    </row>
    <row r="25" spans="1:16" ht="24.75" x14ac:dyDescent="0.25">
      <c r="A25" s="170" t="s">
        <v>948</v>
      </c>
      <c r="B25" s="170" t="s">
        <v>947</v>
      </c>
      <c r="C25" s="169" t="s">
        <v>722</v>
      </c>
      <c r="D25" s="169" t="s">
        <v>946</v>
      </c>
      <c r="E25" s="169" t="s">
        <v>725</v>
      </c>
      <c r="F25" s="168" t="s">
        <v>719</v>
      </c>
      <c r="G25" s="167">
        <v>2017</v>
      </c>
      <c r="H25" s="165">
        <v>36</v>
      </c>
      <c r="I25" s="165">
        <v>75554.339165999991</v>
      </c>
      <c r="J25" s="165">
        <v>0</v>
      </c>
      <c r="K25" s="165">
        <v>75554.339165999991</v>
      </c>
      <c r="L25" s="165">
        <v>491.25736000000001</v>
      </c>
      <c r="M25" s="165">
        <v>75063.081806000002</v>
      </c>
      <c r="N25" s="165">
        <v>0</v>
      </c>
      <c r="O25" s="165">
        <v>75505.874536000003</v>
      </c>
    </row>
    <row r="26" spans="1:16" x14ac:dyDescent="0.25">
      <c r="A26" s="170" t="s">
        <v>945</v>
      </c>
      <c r="B26" s="170" t="s">
        <v>944</v>
      </c>
      <c r="C26" s="169" t="s">
        <v>722</v>
      </c>
      <c r="D26" s="169" t="s">
        <v>943</v>
      </c>
      <c r="E26" s="169" t="s">
        <v>239</v>
      </c>
      <c r="F26" s="168" t="s">
        <v>719</v>
      </c>
      <c r="G26" s="167">
        <v>2017</v>
      </c>
      <c r="H26" s="165">
        <v>5.2</v>
      </c>
      <c r="I26" s="165">
        <v>7216.95</v>
      </c>
      <c r="J26" s="165">
        <v>0</v>
      </c>
      <c r="K26" s="165">
        <v>7216.95</v>
      </c>
      <c r="L26" s="165">
        <v>69.921999999999997</v>
      </c>
      <c r="M26" s="165">
        <v>7147.0280000000012</v>
      </c>
      <c r="N26" s="165">
        <v>0</v>
      </c>
      <c r="O26" s="165">
        <v>7147.0280000000012</v>
      </c>
    </row>
    <row r="27" spans="1:16" x14ac:dyDescent="0.25">
      <c r="A27" s="170" t="s">
        <v>942</v>
      </c>
      <c r="B27" s="170" t="s">
        <v>941</v>
      </c>
      <c r="C27" s="169" t="s">
        <v>722</v>
      </c>
      <c r="D27" s="169" t="s">
        <v>940</v>
      </c>
      <c r="E27" s="169" t="s">
        <v>922</v>
      </c>
      <c r="F27" s="168" t="s">
        <v>719</v>
      </c>
      <c r="G27" s="167">
        <v>2017</v>
      </c>
      <c r="H27" s="165">
        <v>335</v>
      </c>
      <c r="I27" s="165">
        <v>43306.899999999994</v>
      </c>
      <c r="J27" s="165">
        <v>587.47</v>
      </c>
      <c r="K27" s="165">
        <v>42719.43</v>
      </c>
      <c r="L27" s="165">
        <v>6742.5099999999993</v>
      </c>
      <c r="M27" s="165">
        <v>42719.43</v>
      </c>
      <c r="N27" s="165">
        <v>0</v>
      </c>
      <c r="O27" s="165">
        <v>42719.43</v>
      </c>
      <c r="P27" s="157">
        <f>O27/(H27*8760)</f>
        <v>1.4557156000817828E-2</v>
      </c>
    </row>
    <row r="28" spans="1:16" x14ac:dyDescent="0.25">
      <c r="A28" s="170" t="s">
        <v>939</v>
      </c>
      <c r="B28" s="170" t="s">
        <v>938</v>
      </c>
      <c r="C28" s="169" t="s">
        <v>722</v>
      </c>
      <c r="D28" s="169" t="s">
        <v>937</v>
      </c>
      <c r="E28" s="169" t="s">
        <v>239</v>
      </c>
      <c r="F28" s="168" t="s">
        <v>719</v>
      </c>
      <c r="G28" s="167">
        <v>2017</v>
      </c>
      <c r="H28" s="165">
        <v>100</v>
      </c>
      <c r="I28" s="165">
        <v>296719.63199999998</v>
      </c>
      <c r="J28" s="165">
        <v>0</v>
      </c>
      <c r="K28" s="165">
        <v>296719.63199999998</v>
      </c>
      <c r="L28" s="165">
        <v>316.39980822999996</v>
      </c>
      <c r="M28" s="165">
        <v>290192.866645</v>
      </c>
      <c r="N28" s="165">
        <v>316.39980822999996</v>
      </c>
      <c r="O28" s="165">
        <v>290192.866645</v>
      </c>
    </row>
    <row r="29" spans="1:16" x14ac:dyDescent="0.25">
      <c r="A29" s="170" t="s">
        <v>936</v>
      </c>
      <c r="B29" s="170" t="s">
        <v>935</v>
      </c>
      <c r="C29" s="169" t="s">
        <v>722</v>
      </c>
      <c r="D29" s="169" t="s">
        <v>934</v>
      </c>
      <c r="E29" s="169" t="s">
        <v>725</v>
      </c>
      <c r="F29" s="168" t="s">
        <v>719</v>
      </c>
      <c r="G29" s="167">
        <v>2017</v>
      </c>
      <c r="H29" s="165">
        <v>75</v>
      </c>
      <c r="I29" s="165">
        <v>152987.158933</v>
      </c>
      <c r="J29" s="165">
        <v>0</v>
      </c>
      <c r="K29" s="165">
        <v>152987.158933</v>
      </c>
      <c r="L29" s="165">
        <v>1064.9769999999999</v>
      </c>
      <c r="M29" s="165">
        <v>151922.18193300001</v>
      </c>
      <c r="N29" s="165">
        <v>0</v>
      </c>
      <c r="O29" s="165">
        <v>151922.18193300001</v>
      </c>
    </row>
    <row r="30" spans="1:16" x14ac:dyDescent="0.25">
      <c r="A30" s="170" t="s">
        <v>933</v>
      </c>
      <c r="B30" s="170" t="s">
        <v>932</v>
      </c>
      <c r="C30" s="169" t="s">
        <v>722</v>
      </c>
      <c r="D30" s="169" t="s">
        <v>931</v>
      </c>
      <c r="E30" s="169" t="s">
        <v>239</v>
      </c>
      <c r="F30" s="168" t="s">
        <v>719</v>
      </c>
      <c r="G30" s="167">
        <v>2017</v>
      </c>
      <c r="H30" s="165">
        <v>1.8</v>
      </c>
      <c r="I30" s="165">
        <v>5525.45</v>
      </c>
      <c r="J30" s="165">
        <v>0</v>
      </c>
      <c r="K30" s="165">
        <v>5525.45</v>
      </c>
      <c r="L30" s="165">
        <v>0</v>
      </c>
      <c r="M30" s="165">
        <v>5525.45</v>
      </c>
      <c r="N30" s="165">
        <v>0</v>
      </c>
      <c r="O30" s="165">
        <v>5525.45</v>
      </c>
    </row>
    <row r="31" spans="1:16" x14ac:dyDescent="0.25">
      <c r="A31" s="170" t="s">
        <v>929</v>
      </c>
      <c r="B31" s="170" t="s">
        <v>928</v>
      </c>
      <c r="C31" s="169" t="s">
        <v>722</v>
      </c>
      <c r="D31" s="169" t="s">
        <v>930</v>
      </c>
      <c r="E31" s="169" t="s">
        <v>926</v>
      </c>
      <c r="F31" s="168" t="s">
        <v>719</v>
      </c>
      <c r="G31" s="167">
        <v>2017</v>
      </c>
      <c r="H31" s="165">
        <v>3</v>
      </c>
      <c r="I31" s="165">
        <v>27959.786</v>
      </c>
      <c r="J31" s="165">
        <v>0</v>
      </c>
      <c r="K31" s="165">
        <v>27959.786</v>
      </c>
      <c r="L31" s="165">
        <v>0</v>
      </c>
      <c r="M31" s="165">
        <v>27959.786</v>
      </c>
      <c r="N31" s="165">
        <v>0</v>
      </c>
      <c r="O31" s="165">
        <v>27959.786</v>
      </c>
    </row>
    <row r="32" spans="1:16" x14ac:dyDescent="0.25">
      <c r="A32" s="170" t="s">
        <v>929</v>
      </c>
      <c r="B32" s="170" t="s">
        <v>928</v>
      </c>
      <c r="C32" s="169" t="s">
        <v>722</v>
      </c>
      <c r="D32" s="169" t="s">
        <v>927</v>
      </c>
      <c r="E32" s="169" t="s">
        <v>926</v>
      </c>
      <c r="F32" s="168" t="s">
        <v>719</v>
      </c>
      <c r="G32" s="167">
        <v>2017</v>
      </c>
      <c r="H32" s="165">
        <v>5</v>
      </c>
      <c r="I32" s="165">
        <v>3111.2780000000002</v>
      </c>
      <c r="J32" s="165">
        <v>0</v>
      </c>
      <c r="K32" s="165">
        <v>3111.2780000000002</v>
      </c>
      <c r="L32" s="165">
        <v>0</v>
      </c>
      <c r="M32" s="165">
        <v>3111.2780000000002</v>
      </c>
      <c r="N32" s="165">
        <v>0</v>
      </c>
      <c r="O32" s="165">
        <v>3111.2780000000002</v>
      </c>
    </row>
    <row r="33" spans="1:16" x14ac:dyDescent="0.25">
      <c r="A33" s="170" t="s">
        <v>925</v>
      </c>
      <c r="B33" s="170" t="s">
        <v>924</v>
      </c>
      <c r="C33" s="169" t="s">
        <v>722</v>
      </c>
      <c r="D33" s="169" t="s">
        <v>923</v>
      </c>
      <c r="E33" s="169" t="s">
        <v>725</v>
      </c>
      <c r="F33" s="168" t="s">
        <v>719</v>
      </c>
      <c r="G33" s="167">
        <v>2017</v>
      </c>
      <c r="H33" s="165">
        <v>28</v>
      </c>
      <c r="I33" s="165">
        <v>59418.6</v>
      </c>
      <c r="J33" s="165">
        <v>0</v>
      </c>
      <c r="K33" s="165">
        <v>59418.6</v>
      </c>
      <c r="L33" s="165">
        <v>641.43089677087778</v>
      </c>
      <c r="M33" s="165">
        <v>58777.169103229113</v>
      </c>
      <c r="N33" s="165">
        <v>0</v>
      </c>
      <c r="O33" s="165">
        <v>58777.169103229113</v>
      </c>
    </row>
    <row r="34" spans="1:16" x14ac:dyDescent="0.25">
      <c r="A34" s="170" t="s">
        <v>915</v>
      </c>
      <c r="B34" s="170" t="s">
        <v>914</v>
      </c>
      <c r="C34" s="169" t="s">
        <v>485</v>
      </c>
      <c r="D34" s="169" t="s">
        <v>416</v>
      </c>
      <c r="E34" s="169" t="s">
        <v>140</v>
      </c>
      <c r="F34" s="168" t="s">
        <v>719</v>
      </c>
      <c r="G34" s="167">
        <v>2017</v>
      </c>
      <c r="H34" s="165">
        <v>1980</v>
      </c>
      <c r="I34" s="165">
        <v>10777095.550000001</v>
      </c>
      <c r="J34" s="165">
        <v>810378.11</v>
      </c>
      <c r="K34" s="165">
        <v>9966717.4399999995</v>
      </c>
      <c r="L34" s="165">
        <v>0</v>
      </c>
      <c r="M34" s="165">
        <v>9966717.4399999995</v>
      </c>
      <c r="N34" s="165">
        <v>0</v>
      </c>
      <c r="O34" s="165">
        <v>9966717.4399999995</v>
      </c>
    </row>
    <row r="35" spans="1:16" x14ac:dyDescent="0.25">
      <c r="A35" s="170" t="s">
        <v>915</v>
      </c>
      <c r="B35" s="170" t="s">
        <v>914</v>
      </c>
      <c r="C35" s="169" t="s">
        <v>485</v>
      </c>
      <c r="D35" s="169" t="s">
        <v>470</v>
      </c>
      <c r="E35" s="169" t="s">
        <v>140</v>
      </c>
      <c r="F35" s="168" t="s">
        <v>719</v>
      </c>
      <c r="G35" s="167">
        <v>2017</v>
      </c>
      <c r="H35" s="165">
        <v>1520</v>
      </c>
      <c r="I35" s="165">
        <v>7087587.944835999</v>
      </c>
      <c r="J35" s="165">
        <v>428921.55483599973</v>
      </c>
      <c r="K35" s="165">
        <v>6658666.3899999987</v>
      </c>
      <c r="L35" s="165">
        <v>0</v>
      </c>
      <c r="M35" s="165">
        <v>6658666.3899999987</v>
      </c>
      <c r="N35" s="165">
        <v>0</v>
      </c>
      <c r="O35" s="165">
        <v>6658666.3899999987</v>
      </c>
    </row>
    <row r="36" spans="1:16" x14ac:dyDescent="0.25">
      <c r="A36" s="170" t="s">
        <v>915</v>
      </c>
      <c r="B36" s="170" t="s">
        <v>914</v>
      </c>
      <c r="C36" s="169" t="s">
        <v>485</v>
      </c>
      <c r="D36" s="169" t="s">
        <v>466</v>
      </c>
      <c r="E36" s="169" t="s">
        <v>140</v>
      </c>
      <c r="F36" s="168" t="s">
        <v>719</v>
      </c>
      <c r="G36" s="167">
        <v>2017</v>
      </c>
      <c r="H36" s="165">
        <v>3450</v>
      </c>
      <c r="I36" s="165">
        <v>16256927.938000001</v>
      </c>
      <c r="J36" s="165">
        <v>1225846.0179999999</v>
      </c>
      <c r="K36" s="165">
        <v>15031081.919999998</v>
      </c>
      <c r="L36" s="165">
        <v>0</v>
      </c>
      <c r="M36" s="165">
        <v>15031081.919999998</v>
      </c>
      <c r="N36" s="165">
        <v>0</v>
      </c>
      <c r="O36" s="165">
        <v>15031081.919999998</v>
      </c>
    </row>
    <row r="37" spans="1:16" x14ac:dyDescent="0.25">
      <c r="A37" s="170" t="s">
        <v>915</v>
      </c>
      <c r="B37" s="170" t="s">
        <v>914</v>
      </c>
      <c r="C37" s="169" t="s">
        <v>485</v>
      </c>
      <c r="D37" s="169" t="s">
        <v>405</v>
      </c>
      <c r="E37" s="169" t="s">
        <v>140</v>
      </c>
      <c r="F37" s="168" t="s">
        <v>719</v>
      </c>
      <c r="G37" s="167">
        <v>2017</v>
      </c>
      <c r="H37" s="165">
        <v>1130</v>
      </c>
      <c r="I37" s="165">
        <v>3846835.5040300004</v>
      </c>
      <c r="J37" s="165">
        <v>325178.63403000002</v>
      </c>
      <c r="K37" s="165">
        <v>3521656.8700000006</v>
      </c>
      <c r="L37" s="165">
        <v>0</v>
      </c>
      <c r="M37" s="165">
        <v>3521656.8700000006</v>
      </c>
      <c r="N37" s="165">
        <v>0</v>
      </c>
      <c r="O37" s="165">
        <v>3521656.8700000006</v>
      </c>
    </row>
    <row r="38" spans="1:16" x14ac:dyDescent="0.25">
      <c r="A38" s="170" t="s">
        <v>915</v>
      </c>
      <c r="B38" s="170" t="s">
        <v>914</v>
      </c>
      <c r="C38" s="169" t="s">
        <v>485</v>
      </c>
      <c r="D38" s="169" t="s">
        <v>409</v>
      </c>
      <c r="E38" s="169" t="s">
        <v>140</v>
      </c>
      <c r="F38" s="168" t="s">
        <v>719</v>
      </c>
      <c r="G38" s="167">
        <v>2017</v>
      </c>
      <c r="H38" s="165">
        <v>1900</v>
      </c>
      <c r="I38" s="165">
        <v>8277542.527999999</v>
      </c>
      <c r="J38" s="165">
        <v>623045.46799999988</v>
      </c>
      <c r="K38" s="165">
        <v>7654497.0599999996</v>
      </c>
      <c r="L38" s="165">
        <v>0</v>
      </c>
      <c r="M38" s="165">
        <v>7654497.0599999996</v>
      </c>
      <c r="N38" s="165">
        <v>0</v>
      </c>
      <c r="O38" s="165">
        <v>7654497.0599999996</v>
      </c>
    </row>
    <row r="39" spans="1:16" x14ac:dyDescent="0.25">
      <c r="A39" s="170" t="s">
        <v>915</v>
      </c>
      <c r="B39" s="170" t="s">
        <v>914</v>
      </c>
      <c r="C39" s="169" t="s">
        <v>485</v>
      </c>
      <c r="D39" s="169" t="s">
        <v>455</v>
      </c>
      <c r="E39" s="169" t="s">
        <v>140</v>
      </c>
      <c r="F39" s="168" t="s">
        <v>719</v>
      </c>
      <c r="G39" s="167">
        <v>2017</v>
      </c>
      <c r="H39" s="165">
        <v>3840</v>
      </c>
      <c r="I39" s="165">
        <v>27372940.41</v>
      </c>
      <c r="J39" s="165">
        <v>2100668.4999999995</v>
      </c>
      <c r="K39" s="165">
        <v>25272271.91</v>
      </c>
      <c r="L39" s="165">
        <v>0</v>
      </c>
      <c r="M39" s="165">
        <v>25272271.91</v>
      </c>
      <c r="N39" s="165">
        <v>0</v>
      </c>
      <c r="O39" s="165">
        <v>25272271.91</v>
      </c>
    </row>
    <row r="40" spans="1:16" x14ac:dyDescent="0.25">
      <c r="A40" s="170" t="s">
        <v>915</v>
      </c>
      <c r="B40" s="170" t="s">
        <v>914</v>
      </c>
      <c r="C40" s="169" t="s">
        <v>485</v>
      </c>
      <c r="D40" s="169" t="s">
        <v>406</v>
      </c>
      <c r="E40" s="169" t="s">
        <v>140</v>
      </c>
      <c r="F40" s="168" t="s">
        <v>719</v>
      </c>
      <c r="G40" s="167">
        <v>2017</v>
      </c>
      <c r="H40" s="165">
        <v>1000</v>
      </c>
      <c r="I40" s="165">
        <v>2598873.14</v>
      </c>
      <c r="J40" s="165">
        <v>180096.81</v>
      </c>
      <c r="K40" s="165">
        <v>2418776.33</v>
      </c>
      <c r="L40" s="165">
        <v>0</v>
      </c>
      <c r="M40" s="165">
        <v>2418776.33</v>
      </c>
      <c r="N40" s="165">
        <v>0</v>
      </c>
      <c r="O40" s="165">
        <v>2418776.33</v>
      </c>
    </row>
    <row r="41" spans="1:16" x14ac:dyDescent="0.25">
      <c r="A41" s="170" t="s">
        <v>915</v>
      </c>
      <c r="B41" s="170" t="s">
        <v>914</v>
      </c>
      <c r="C41" s="169" t="s">
        <v>485</v>
      </c>
      <c r="D41" s="169" t="s">
        <v>410</v>
      </c>
      <c r="E41" s="169" t="s">
        <v>140</v>
      </c>
      <c r="F41" s="168" t="s">
        <v>719</v>
      </c>
      <c r="G41" s="167">
        <v>2017</v>
      </c>
      <c r="H41" s="165">
        <v>2850</v>
      </c>
      <c r="I41" s="165">
        <v>13638662.549999999</v>
      </c>
      <c r="J41" s="165">
        <v>1129382.9699999995</v>
      </c>
      <c r="K41" s="165">
        <v>12509279.580000002</v>
      </c>
      <c r="L41" s="165">
        <v>0</v>
      </c>
      <c r="M41" s="165">
        <v>12509279.580000002</v>
      </c>
      <c r="N41" s="165">
        <v>0</v>
      </c>
      <c r="O41" s="165">
        <v>12509279.580000002</v>
      </c>
    </row>
    <row r="42" spans="1:16" x14ac:dyDescent="0.25">
      <c r="A42" s="170" t="s">
        <v>915</v>
      </c>
      <c r="B42" s="170" t="s">
        <v>914</v>
      </c>
      <c r="C42" s="169" t="s">
        <v>485</v>
      </c>
      <c r="D42" s="169" t="s">
        <v>441</v>
      </c>
      <c r="E42" s="169" t="s">
        <v>140</v>
      </c>
      <c r="F42" s="168" t="s">
        <v>719</v>
      </c>
      <c r="G42" s="167">
        <v>2017</v>
      </c>
      <c r="H42" s="165">
        <v>3558</v>
      </c>
      <c r="I42" s="165">
        <v>21228523.099999998</v>
      </c>
      <c r="J42" s="165">
        <v>1206633.0999999996</v>
      </c>
      <c r="K42" s="165">
        <v>20021890</v>
      </c>
      <c r="L42" s="165">
        <v>0</v>
      </c>
      <c r="M42" s="165">
        <v>20021890</v>
      </c>
      <c r="N42" s="165">
        <v>0</v>
      </c>
      <c r="O42" s="165">
        <v>20021890</v>
      </c>
    </row>
    <row r="43" spans="1:16" x14ac:dyDescent="0.25">
      <c r="A43" s="170" t="s">
        <v>915</v>
      </c>
      <c r="B43" s="170" t="s">
        <v>914</v>
      </c>
      <c r="C43" s="169" t="s">
        <v>485</v>
      </c>
      <c r="D43" s="169" t="s">
        <v>407</v>
      </c>
      <c r="E43" s="169" t="s">
        <v>140</v>
      </c>
      <c r="F43" s="168" t="s">
        <v>719</v>
      </c>
      <c r="G43" s="167">
        <v>2017</v>
      </c>
      <c r="H43" s="165">
        <v>3843</v>
      </c>
      <c r="I43" s="165">
        <v>25417656.995000001</v>
      </c>
      <c r="J43" s="165">
        <v>2050102.3549999997</v>
      </c>
      <c r="K43" s="165">
        <v>23367554.640000001</v>
      </c>
      <c r="L43" s="165">
        <v>0</v>
      </c>
      <c r="M43" s="165">
        <v>23367554.640000001</v>
      </c>
      <c r="N43" s="165">
        <v>0</v>
      </c>
      <c r="O43" s="165">
        <v>23367554.640000001</v>
      </c>
    </row>
    <row r="44" spans="1:16" x14ac:dyDescent="0.25">
      <c r="A44" s="170" t="s">
        <v>915</v>
      </c>
      <c r="B44" s="170" t="s">
        <v>914</v>
      </c>
      <c r="C44" s="169" t="s">
        <v>485</v>
      </c>
      <c r="D44" s="169" t="s">
        <v>434</v>
      </c>
      <c r="E44" s="169" t="s">
        <v>140</v>
      </c>
      <c r="F44" s="168" t="s">
        <v>719</v>
      </c>
      <c r="G44" s="167">
        <v>2017</v>
      </c>
      <c r="H44" s="165">
        <v>3690</v>
      </c>
      <c r="I44" s="165">
        <v>28259683.377299998</v>
      </c>
      <c r="J44" s="165">
        <v>2453046.6672999999</v>
      </c>
      <c r="K44" s="165">
        <v>25806636.710000001</v>
      </c>
      <c r="L44" s="165">
        <v>0</v>
      </c>
      <c r="M44" s="165">
        <v>25806636.710000001</v>
      </c>
      <c r="N44" s="165">
        <v>0</v>
      </c>
      <c r="O44" s="165">
        <v>25806636.710000001</v>
      </c>
    </row>
    <row r="45" spans="1:16" x14ac:dyDescent="0.25">
      <c r="A45" s="170" t="s">
        <v>915</v>
      </c>
      <c r="B45" s="170" t="s">
        <v>914</v>
      </c>
      <c r="C45" s="169" t="s">
        <v>485</v>
      </c>
      <c r="D45" s="169" t="s">
        <v>413</v>
      </c>
      <c r="E45" s="169" t="s">
        <v>140</v>
      </c>
      <c r="F45" s="168" t="s">
        <v>719</v>
      </c>
      <c r="G45" s="167">
        <v>2017</v>
      </c>
      <c r="H45" s="165">
        <v>3450</v>
      </c>
      <c r="I45" s="165">
        <v>19880712.799999997</v>
      </c>
      <c r="J45" s="165">
        <v>1176929.4099999999</v>
      </c>
      <c r="K45" s="165">
        <v>18703783.389999997</v>
      </c>
      <c r="L45" s="165">
        <v>0</v>
      </c>
      <c r="M45" s="165">
        <v>18703783.389999997</v>
      </c>
      <c r="N45" s="165">
        <v>0</v>
      </c>
      <c r="O45" s="165">
        <v>18703783.389999997</v>
      </c>
    </row>
    <row r="46" spans="1:16" x14ac:dyDescent="0.25">
      <c r="A46" s="170" t="s">
        <v>915</v>
      </c>
      <c r="B46" s="170" t="s">
        <v>914</v>
      </c>
      <c r="C46" s="169" t="s">
        <v>485</v>
      </c>
      <c r="D46" s="169" t="s">
        <v>418</v>
      </c>
      <c r="E46" s="169" t="s">
        <v>140</v>
      </c>
      <c r="F46" s="168" t="s">
        <v>719</v>
      </c>
      <c r="G46" s="167">
        <v>2017</v>
      </c>
      <c r="H46" s="165">
        <v>3510</v>
      </c>
      <c r="I46" s="165">
        <v>17601379.504806001</v>
      </c>
      <c r="J46" s="165">
        <v>1128053.7048060005</v>
      </c>
      <c r="K46" s="165">
        <v>16473325.799999999</v>
      </c>
      <c r="L46" s="165">
        <v>0</v>
      </c>
      <c r="M46" s="165">
        <v>16473325.799999999</v>
      </c>
      <c r="N46" s="165">
        <v>0</v>
      </c>
      <c r="O46" s="165">
        <v>16473325.799999999</v>
      </c>
    </row>
    <row r="47" spans="1:16" x14ac:dyDescent="0.25">
      <c r="A47" s="170" t="s">
        <v>915</v>
      </c>
      <c r="B47" s="170" t="s">
        <v>914</v>
      </c>
      <c r="C47" s="169" t="s">
        <v>485</v>
      </c>
      <c r="D47" s="169" t="s">
        <v>537</v>
      </c>
      <c r="E47" s="169" t="s">
        <v>922</v>
      </c>
      <c r="F47" s="168" t="s">
        <v>719</v>
      </c>
      <c r="G47" s="167">
        <v>2017</v>
      </c>
      <c r="H47" s="165">
        <v>171</v>
      </c>
      <c r="I47" s="165">
        <v>77</v>
      </c>
      <c r="J47" s="165">
        <v>4</v>
      </c>
      <c r="K47" s="165">
        <v>73</v>
      </c>
      <c r="L47" s="165">
        <v>0</v>
      </c>
      <c r="M47" s="165">
        <v>73</v>
      </c>
      <c r="N47" s="165">
        <v>0</v>
      </c>
      <c r="O47" s="165">
        <v>73</v>
      </c>
      <c r="P47" s="157">
        <f>O47/(H47*8760)</f>
        <v>4.8732943469785574E-5</v>
      </c>
    </row>
    <row r="48" spans="1:16" x14ac:dyDescent="0.25">
      <c r="A48" s="170" t="s">
        <v>915</v>
      </c>
      <c r="B48" s="170" t="s">
        <v>914</v>
      </c>
      <c r="C48" s="169" t="s">
        <v>485</v>
      </c>
      <c r="D48" s="169" t="s">
        <v>535</v>
      </c>
      <c r="E48" s="169" t="s">
        <v>922</v>
      </c>
      <c r="F48" s="168" t="s">
        <v>719</v>
      </c>
      <c r="G48" s="167">
        <v>2017</v>
      </c>
      <c r="H48" s="165">
        <v>588</v>
      </c>
      <c r="I48" s="165">
        <v>22514.229200000002</v>
      </c>
      <c r="J48" s="165">
        <v>64.229199999999963</v>
      </c>
      <c r="K48" s="165">
        <v>22450</v>
      </c>
      <c r="L48" s="165">
        <v>0</v>
      </c>
      <c r="M48" s="165">
        <v>22450</v>
      </c>
      <c r="N48" s="165">
        <v>0</v>
      </c>
      <c r="O48" s="165">
        <v>22450</v>
      </c>
      <c r="P48" s="157">
        <f>O48/(H48*8760)</f>
        <v>4.3584785512378469E-3</v>
      </c>
    </row>
    <row r="49" spans="1:16" x14ac:dyDescent="0.25">
      <c r="A49" s="170" t="s">
        <v>915</v>
      </c>
      <c r="B49" s="170" t="s">
        <v>914</v>
      </c>
      <c r="C49" s="169" t="s">
        <v>485</v>
      </c>
      <c r="D49" s="169" t="s">
        <v>533</v>
      </c>
      <c r="E49" s="169" t="s">
        <v>922</v>
      </c>
      <c r="F49" s="168" t="s">
        <v>719</v>
      </c>
      <c r="G49" s="167">
        <v>2017</v>
      </c>
      <c r="H49" s="165">
        <v>438</v>
      </c>
      <c r="I49" s="165">
        <v>16326.9601</v>
      </c>
      <c r="J49" s="165">
        <v>264.32009999999963</v>
      </c>
      <c r="K49" s="165">
        <v>16062.64</v>
      </c>
      <c r="L49" s="165">
        <v>0</v>
      </c>
      <c r="M49" s="165">
        <v>16062.64</v>
      </c>
      <c r="N49" s="165">
        <v>0</v>
      </c>
      <c r="O49" s="165">
        <v>16062.64</v>
      </c>
      <c r="P49" s="157">
        <f>O49/(H49*8760)</f>
        <v>4.1863806009049013E-3</v>
      </c>
    </row>
    <row r="50" spans="1:16" x14ac:dyDescent="0.25">
      <c r="A50" s="170" t="s">
        <v>915</v>
      </c>
      <c r="B50" s="170" t="s">
        <v>914</v>
      </c>
      <c r="C50" s="169" t="s">
        <v>485</v>
      </c>
      <c r="D50" s="169" t="s">
        <v>531</v>
      </c>
      <c r="E50" s="169" t="s">
        <v>922</v>
      </c>
      <c r="F50" s="168" t="s">
        <v>719</v>
      </c>
      <c r="G50" s="167">
        <v>2017</v>
      </c>
      <c r="H50" s="165">
        <v>171</v>
      </c>
      <c r="I50" s="165">
        <v>65</v>
      </c>
      <c r="J50" s="165">
        <v>0</v>
      </c>
      <c r="K50" s="165">
        <v>65</v>
      </c>
      <c r="L50" s="165">
        <v>0</v>
      </c>
      <c r="M50" s="165">
        <v>65</v>
      </c>
      <c r="N50" s="165">
        <v>0</v>
      </c>
      <c r="O50" s="165">
        <v>65</v>
      </c>
      <c r="P50" s="157">
        <f>O50/(H50*8760)</f>
        <v>4.3392346925151537E-5</v>
      </c>
    </row>
    <row r="51" spans="1:16" x14ac:dyDescent="0.25">
      <c r="A51" s="170" t="s">
        <v>915</v>
      </c>
      <c r="B51" s="170" t="s">
        <v>914</v>
      </c>
      <c r="C51" s="169" t="s">
        <v>485</v>
      </c>
      <c r="D51" s="169" t="s">
        <v>527</v>
      </c>
      <c r="E51" s="169" t="s">
        <v>754</v>
      </c>
      <c r="F51" s="168" t="s">
        <v>719</v>
      </c>
      <c r="G51" s="167">
        <v>2017</v>
      </c>
      <c r="H51" s="165">
        <v>360</v>
      </c>
      <c r="I51" s="165">
        <v>342073</v>
      </c>
      <c r="J51" s="165">
        <v>371.8399999999956</v>
      </c>
      <c r="K51" s="165">
        <v>341701.16000000003</v>
      </c>
      <c r="L51" s="165">
        <v>0</v>
      </c>
      <c r="M51" s="165">
        <v>341701.16000000003</v>
      </c>
      <c r="N51" s="165">
        <v>0</v>
      </c>
      <c r="O51" s="165">
        <v>341701.16000000003</v>
      </c>
    </row>
    <row r="52" spans="1:16" x14ac:dyDescent="0.25">
      <c r="A52" s="170" t="s">
        <v>915</v>
      </c>
      <c r="B52" s="170" t="s">
        <v>914</v>
      </c>
      <c r="C52" s="169" t="s">
        <v>485</v>
      </c>
      <c r="D52" s="169" t="s">
        <v>921</v>
      </c>
      <c r="E52" s="169" t="s">
        <v>754</v>
      </c>
      <c r="F52" s="168" t="s">
        <v>719</v>
      </c>
      <c r="G52" s="167">
        <v>2017</v>
      </c>
      <c r="H52" s="165">
        <v>240</v>
      </c>
      <c r="I52" s="165">
        <v>351159</v>
      </c>
      <c r="J52" s="165">
        <v>2565.7999999999993</v>
      </c>
      <c r="K52" s="165">
        <v>348593.2</v>
      </c>
      <c r="L52" s="165">
        <v>0</v>
      </c>
      <c r="M52" s="165">
        <v>348593.2</v>
      </c>
      <c r="N52" s="165">
        <v>0</v>
      </c>
      <c r="O52" s="165">
        <v>348593.2</v>
      </c>
    </row>
    <row r="53" spans="1:16" x14ac:dyDescent="0.25">
      <c r="A53" s="170" t="s">
        <v>915</v>
      </c>
      <c r="B53" s="170" t="s">
        <v>914</v>
      </c>
      <c r="C53" s="169" t="s">
        <v>485</v>
      </c>
      <c r="D53" s="169" t="s">
        <v>539</v>
      </c>
      <c r="E53" s="169" t="s">
        <v>920</v>
      </c>
      <c r="F53" s="168" t="s">
        <v>719</v>
      </c>
      <c r="G53" s="167">
        <v>2017</v>
      </c>
      <c r="H53" s="165">
        <v>1870</v>
      </c>
      <c r="I53" s="165">
        <v>15743187</v>
      </c>
      <c r="J53" s="165">
        <v>656303</v>
      </c>
      <c r="K53" s="165">
        <v>15086884</v>
      </c>
      <c r="L53" s="165">
        <v>0</v>
      </c>
      <c r="M53" s="165">
        <v>15086884</v>
      </c>
      <c r="N53" s="165">
        <v>0</v>
      </c>
      <c r="O53" s="165">
        <v>15086884</v>
      </c>
    </row>
    <row r="54" spans="1:16" x14ac:dyDescent="0.25">
      <c r="A54" s="170" t="s">
        <v>915</v>
      </c>
      <c r="B54" s="170" t="s">
        <v>914</v>
      </c>
      <c r="C54" s="169" t="s">
        <v>485</v>
      </c>
      <c r="D54" s="169" t="s">
        <v>521</v>
      </c>
      <c r="E54" s="169" t="s">
        <v>916</v>
      </c>
      <c r="F54" s="168" t="s">
        <v>719</v>
      </c>
      <c r="G54" s="167">
        <v>2017</v>
      </c>
      <c r="H54" s="165">
        <v>1000</v>
      </c>
      <c r="I54" s="165">
        <v>1478450</v>
      </c>
      <c r="J54" s="165">
        <v>4462.9600000000064</v>
      </c>
      <c r="K54" s="165">
        <v>1473987.04</v>
      </c>
      <c r="L54" s="165">
        <v>2359516.86</v>
      </c>
      <c r="M54" s="165">
        <v>-885529.82000000007</v>
      </c>
      <c r="N54" s="165">
        <v>0</v>
      </c>
      <c r="O54" s="165">
        <v>-885529.82000000007</v>
      </c>
    </row>
    <row r="55" spans="1:16" x14ac:dyDescent="0.25">
      <c r="A55" s="170" t="s">
        <v>915</v>
      </c>
      <c r="B55" s="170" t="s">
        <v>914</v>
      </c>
      <c r="C55" s="169" t="s">
        <v>485</v>
      </c>
      <c r="D55" s="169" t="s">
        <v>519</v>
      </c>
      <c r="E55" s="169" t="s">
        <v>916</v>
      </c>
      <c r="F55" s="168" t="s">
        <v>719</v>
      </c>
      <c r="G55" s="167">
        <v>2017</v>
      </c>
      <c r="H55" s="165">
        <v>400</v>
      </c>
      <c r="I55" s="165">
        <v>589957</v>
      </c>
      <c r="J55" s="165">
        <v>494.97000000001572</v>
      </c>
      <c r="K55" s="165">
        <v>589462.03</v>
      </c>
      <c r="L55" s="165">
        <v>776185.54</v>
      </c>
      <c r="M55" s="165">
        <v>-186723.51</v>
      </c>
      <c r="N55" s="165">
        <v>0</v>
      </c>
      <c r="O55" s="165">
        <v>-186723.51</v>
      </c>
    </row>
    <row r="56" spans="1:16" x14ac:dyDescent="0.25">
      <c r="A56" s="170" t="s">
        <v>915</v>
      </c>
      <c r="B56" s="170" t="s">
        <v>914</v>
      </c>
      <c r="C56" s="169" t="s">
        <v>485</v>
      </c>
      <c r="D56" s="169" t="s">
        <v>525</v>
      </c>
      <c r="E56" s="169" t="s">
        <v>754</v>
      </c>
      <c r="F56" s="168" t="s">
        <v>719</v>
      </c>
      <c r="G56" s="167">
        <v>2017</v>
      </c>
      <c r="H56" s="165">
        <v>2.1</v>
      </c>
      <c r="I56" s="165">
        <v>1739.5432999999996</v>
      </c>
      <c r="J56" s="165">
        <v>0</v>
      </c>
      <c r="K56" s="165">
        <v>1739.5432999999996</v>
      </c>
      <c r="L56" s="165">
        <v>0</v>
      </c>
      <c r="M56" s="165">
        <v>1739.5432999999996</v>
      </c>
      <c r="N56" s="165">
        <v>0</v>
      </c>
      <c r="O56" s="165">
        <v>1739.5432999999996</v>
      </c>
    </row>
    <row r="57" spans="1:16" x14ac:dyDescent="0.25">
      <c r="A57" s="170" t="s">
        <v>915</v>
      </c>
      <c r="B57" s="170" t="s">
        <v>914</v>
      </c>
      <c r="C57" s="169" t="s">
        <v>485</v>
      </c>
      <c r="D57" s="169" t="s">
        <v>919</v>
      </c>
      <c r="E57" s="169" t="s">
        <v>754</v>
      </c>
      <c r="F57" s="168" t="s">
        <v>719</v>
      </c>
      <c r="G57" s="167">
        <v>2017</v>
      </c>
      <c r="H57" s="165">
        <v>42</v>
      </c>
      <c r="I57" s="165">
        <v>9291.2019</v>
      </c>
      <c r="J57" s="165">
        <v>0</v>
      </c>
      <c r="K57" s="165">
        <v>9291.2019</v>
      </c>
      <c r="L57" s="165">
        <v>0</v>
      </c>
      <c r="M57" s="165">
        <v>9291.2019</v>
      </c>
      <c r="N57" s="165">
        <v>0</v>
      </c>
      <c r="O57" s="165">
        <v>9291.2019</v>
      </c>
    </row>
    <row r="58" spans="1:16" x14ac:dyDescent="0.25">
      <c r="A58" s="170" t="s">
        <v>915</v>
      </c>
      <c r="B58" s="170" t="s">
        <v>914</v>
      </c>
      <c r="C58" s="169" t="s">
        <v>485</v>
      </c>
      <c r="D58" s="169" t="s">
        <v>528</v>
      </c>
      <c r="E58" s="169" t="s">
        <v>754</v>
      </c>
      <c r="F58" s="168" t="s">
        <v>719</v>
      </c>
      <c r="G58" s="167">
        <v>2017</v>
      </c>
      <c r="H58" s="165">
        <v>6</v>
      </c>
      <c r="I58" s="165">
        <v>0</v>
      </c>
      <c r="J58" s="165">
        <v>0</v>
      </c>
      <c r="K58" s="165">
        <v>0</v>
      </c>
      <c r="L58" s="165">
        <v>0</v>
      </c>
      <c r="M58" s="165">
        <v>0</v>
      </c>
      <c r="N58" s="165">
        <v>0</v>
      </c>
      <c r="O58" s="165">
        <v>0</v>
      </c>
    </row>
    <row r="59" spans="1:16" x14ac:dyDescent="0.25">
      <c r="A59" s="170" t="s">
        <v>915</v>
      </c>
      <c r="B59" s="170" t="s">
        <v>914</v>
      </c>
      <c r="C59" s="169" t="s">
        <v>485</v>
      </c>
      <c r="D59" s="169" t="s">
        <v>524</v>
      </c>
      <c r="E59" s="169" t="s">
        <v>754</v>
      </c>
      <c r="F59" s="168" t="s">
        <v>719</v>
      </c>
      <c r="G59" s="167">
        <v>2017</v>
      </c>
      <c r="H59" s="165">
        <v>11</v>
      </c>
      <c r="I59" s="165">
        <v>0</v>
      </c>
      <c r="J59" s="165">
        <v>0</v>
      </c>
      <c r="K59" s="165">
        <v>0</v>
      </c>
      <c r="L59" s="165">
        <v>0</v>
      </c>
      <c r="M59" s="165">
        <v>0</v>
      </c>
      <c r="N59" s="165">
        <v>0</v>
      </c>
      <c r="O59" s="165">
        <v>0</v>
      </c>
    </row>
    <row r="60" spans="1:16" x14ac:dyDescent="0.25">
      <c r="A60" s="170" t="s">
        <v>915</v>
      </c>
      <c r="B60" s="170" t="s">
        <v>914</v>
      </c>
      <c r="C60" s="169" t="s">
        <v>485</v>
      </c>
      <c r="D60" s="169" t="s">
        <v>918</v>
      </c>
      <c r="E60" s="169" t="s">
        <v>239</v>
      </c>
      <c r="F60" s="168" t="s">
        <v>719</v>
      </c>
      <c r="G60" s="167">
        <v>2017</v>
      </c>
      <c r="H60" s="165">
        <v>105.8</v>
      </c>
      <c r="I60" s="165">
        <v>342692.44500000001</v>
      </c>
      <c r="J60" s="165">
        <v>3972.1910000000016</v>
      </c>
      <c r="K60" s="165">
        <v>338720.25399999996</v>
      </c>
      <c r="L60" s="165">
        <v>656.27350000000001</v>
      </c>
      <c r="M60" s="165">
        <v>338063.98050000001</v>
      </c>
      <c r="N60" s="165">
        <v>0</v>
      </c>
      <c r="O60" s="165">
        <v>338063.98050000001</v>
      </c>
    </row>
    <row r="61" spans="1:16" x14ac:dyDescent="0.25">
      <c r="A61" s="170" t="s">
        <v>915</v>
      </c>
      <c r="B61" s="170" t="s">
        <v>914</v>
      </c>
      <c r="C61" s="169" t="s">
        <v>485</v>
      </c>
      <c r="D61" s="169" t="s">
        <v>426</v>
      </c>
      <c r="E61" s="169" t="s">
        <v>140</v>
      </c>
      <c r="F61" s="168" t="s">
        <v>719</v>
      </c>
      <c r="G61" s="167">
        <v>2017</v>
      </c>
      <c r="H61" s="165">
        <v>4500</v>
      </c>
      <c r="I61" s="165">
        <v>8513966.7100000009</v>
      </c>
      <c r="J61" s="165">
        <v>669305.62999999989</v>
      </c>
      <c r="K61" s="165">
        <v>7844661.0800000001</v>
      </c>
      <c r="L61" s="165">
        <v>0</v>
      </c>
      <c r="M61" s="165">
        <v>7844661.0800000001</v>
      </c>
      <c r="N61" s="165">
        <v>0</v>
      </c>
      <c r="O61" s="165">
        <v>7844661.0800000001</v>
      </c>
    </row>
    <row r="62" spans="1:16" x14ac:dyDescent="0.25">
      <c r="A62" s="170" t="s">
        <v>915</v>
      </c>
      <c r="B62" s="170" t="s">
        <v>914</v>
      </c>
      <c r="C62" s="169" t="s">
        <v>485</v>
      </c>
      <c r="D62" s="169" t="s">
        <v>917</v>
      </c>
      <c r="E62" s="169" t="s">
        <v>916</v>
      </c>
      <c r="F62" s="168" t="s">
        <v>719</v>
      </c>
      <c r="G62" s="167">
        <v>2017</v>
      </c>
      <c r="H62" s="165">
        <v>1332</v>
      </c>
      <c r="I62" s="165">
        <v>1982881</v>
      </c>
      <c r="J62" s="165">
        <v>55509.030000000028</v>
      </c>
      <c r="K62" s="165">
        <v>1927371.9700000002</v>
      </c>
      <c r="L62" s="165">
        <v>2409225.11</v>
      </c>
      <c r="M62" s="165">
        <v>-481853.1399999999</v>
      </c>
      <c r="N62" s="165">
        <v>0</v>
      </c>
      <c r="O62" s="165">
        <v>-481853.1399999999</v>
      </c>
    </row>
    <row r="63" spans="1:16" x14ac:dyDescent="0.25">
      <c r="A63" s="170" t="s">
        <v>915</v>
      </c>
      <c r="B63" s="170" t="s">
        <v>914</v>
      </c>
      <c r="C63" s="169" t="s">
        <v>485</v>
      </c>
      <c r="D63" s="169" t="s">
        <v>513</v>
      </c>
      <c r="E63" s="169" t="s">
        <v>140</v>
      </c>
      <c r="F63" s="168" t="s">
        <v>719</v>
      </c>
      <c r="G63" s="167">
        <v>2017</v>
      </c>
      <c r="H63" s="165">
        <v>4800</v>
      </c>
      <c r="I63" s="165">
        <v>1530743.41</v>
      </c>
      <c r="J63" s="165">
        <v>151144.41</v>
      </c>
      <c r="K63" s="165">
        <v>1379599</v>
      </c>
      <c r="L63" s="165">
        <v>0</v>
      </c>
      <c r="M63" s="165">
        <v>1379599</v>
      </c>
      <c r="N63" s="165">
        <v>0</v>
      </c>
      <c r="O63" s="165">
        <v>1379599</v>
      </c>
    </row>
    <row r="64" spans="1:16" x14ac:dyDescent="0.25">
      <c r="A64" s="170" t="s">
        <v>913</v>
      </c>
      <c r="B64" s="170" t="s">
        <v>912</v>
      </c>
      <c r="C64" s="169" t="s">
        <v>722</v>
      </c>
      <c r="D64" s="169" t="s">
        <v>911</v>
      </c>
      <c r="E64" s="169" t="s">
        <v>725</v>
      </c>
      <c r="F64" s="168" t="s">
        <v>719</v>
      </c>
      <c r="G64" s="167">
        <v>2017</v>
      </c>
      <c r="H64" s="165">
        <v>60</v>
      </c>
      <c r="I64" s="165">
        <v>121351.42499999999</v>
      </c>
      <c r="J64" s="165">
        <v>0</v>
      </c>
      <c r="K64" s="165">
        <v>121351.42499999999</v>
      </c>
      <c r="L64" s="165">
        <v>766.61900000000003</v>
      </c>
      <c r="M64" s="165">
        <v>120584.80599999997</v>
      </c>
      <c r="N64" s="165">
        <v>0</v>
      </c>
      <c r="O64" s="165">
        <v>120584.80599999997</v>
      </c>
    </row>
    <row r="65" spans="1:15" x14ac:dyDescent="0.25">
      <c r="A65" s="170" t="s">
        <v>910</v>
      </c>
      <c r="B65" s="170" t="s">
        <v>909</v>
      </c>
      <c r="C65" s="169" t="s">
        <v>722</v>
      </c>
      <c r="D65" s="169" t="s">
        <v>908</v>
      </c>
      <c r="E65" s="169" t="s">
        <v>725</v>
      </c>
      <c r="F65" s="168" t="s">
        <v>719</v>
      </c>
      <c r="G65" s="167">
        <v>2017</v>
      </c>
      <c r="H65" s="165">
        <v>64</v>
      </c>
      <c r="I65" s="165">
        <v>143418.74349687499</v>
      </c>
      <c r="J65" s="165">
        <v>1215.9204999999943</v>
      </c>
      <c r="K65" s="165">
        <v>142202.82150000005</v>
      </c>
      <c r="L65" s="165">
        <v>0</v>
      </c>
      <c r="M65" s="165">
        <v>142202.82150000005</v>
      </c>
      <c r="N65" s="165">
        <v>0</v>
      </c>
      <c r="O65" s="165">
        <v>142202.82150000005</v>
      </c>
    </row>
    <row r="66" spans="1:15" x14ac:dyDescent="0.25">
      <c r="A66" s="170" t="s">
        <v>907</v>
      </c>
      <c r="B66" s="170" t="s">
        <v>906</v>
      </c>
      <c r="C66" s="169" t="s">
        <v>722</v>
      </c>
      <c r="D66" s="169" t="s">
        <v>905</v>
      </c>
      <c r="E66" s="169" t="s">
        <v>754</v>
      </c>
      <c r="F66" s="168" t="s">
        <v>719</v>
      </c>
      <c r="G66" s="167">
        <v>2017</v>
      </c>
      <c r="H66" s="165">
        <v>2.5</v>
      </c>
      <c r="I66" s="165">
        <v>12971.923232323234</v>
      </c>
      <c r="J66" s="165">
        <v>0</v>
      </c>
      <c r="K66" s="165">
        <v>12971.923232323234</v>
      </c>
      <c r="L66" s="165">
        <v>0</v>
      </c>
      <c r="M66" s="165">
        <v>12971.923232323234</v>
      </c>
      <c r="N66" s="165">
        <v>129.71923232323232</v>
      </c>
      <c r="O66" s="165">
        <v>12842.204</v>
      </c>
    </row>
    <row r="67" spans="1:15" x14ac:dyDescent="0.25">
      <c r="A67" s="170" t="s">
        <v>904</v>
      </c>
      <c r="B67" s="170" t="s">
        <v>903</v>
      </c>
      <c r="C67" s="169" t="s">
        <v>722</v>
      </c>
      <c r="D67" s="169" t="s">
        <v>902</v>
      </c>
      <c r="E67" s="169" t="s">
        <v>239</v>
      </c>
      <c r="F67" s="168" t="s">
        <v>719</v>
      </c>
      <c r="G67" s="167">
        <v>2017</v>
      </c>
      <c r="H67" s="165">
        <v>111</v>
      </c>
      <c r="I67" s="165">
        <v>317019.86</v>
      </c>
      <c r="J67" s="165">
        <v>0</v>
      </c>
      <c r="K67" s="165">
        <v>317019.86</v>
      </c>
      <c r="L67" s="165">
        <v>209.87700000000001</v>
      </c>
      <c r="M67" s="165">
        <v>316809.98300000001</v>
      </c>
      <c r="N67" s="165">
        <v>0</v>
      </c>
      <c r="O67" s="165">
        <v>316809.98300000001</v>
      </c>
    </row>
    <row r="68" spans="1:15" x14ac:dyDescent="0.25">
      <c r="A68" s="170" t="s">
        <v>901</v>
      </c>
      <c r="B68" s="170" t="s">
        <v>900</v>
      </c>
      <c r="C68" s="169" t="s">
        <v>722</v>
      </c>
      <c r="D68" s="169" t="s">
        <v>899</v>
      </c>
      <c r="E68" s="169" t="s">
        <v>239</v>
      </c>
      <c r="F68" s="168" t="s">
        <v>719</v>
      </c>
      <c r="G68" s="167">
        <v>2017</v>
      </c>
      <c r="H68" s="165">
        <v>59.8</v>
      </c>
      <c r="I68" s="165">
        <v>171057.88753000001</v>
      </c>
      <c r="J68" s="165">
        <v>0</v>
      </c>
      <c r="K68" s="165">
        <v>171057.88753000001</v>
      </c>
      <c r="L68" s="165">
        <v>456.45399999999995</v>
      </c>
      <c r="M68" s="165">
        <v>170601.43353000004</v>
      </c>
      <c r="N68" s="165">
        <v>0</v>
      </c>
      <c r="O68" s="165">
        <v>170601.43353000004</v>
      </c>
    </row>
    <row r="69" spans="1:15" x14ac:dyDescent="0.25">
      <c r="A69" s="170" t="s">
        <v>898</v>
      </c>
      <c r="B69" s="170" t="s">
        <v>897</v>
      </c>
      <c r="C69" s="169" t="s">
        <v>722</v>
      </c>
      <c r="D69" s="169" t="s">
        <v>896</v>
      </c>
      <c r="E69" s="169" t="s">
        <v>128</v>
      </c>
      <c r="F69" s="168" t="s">
        <v>719</v>
      </c>
      <c r="G69" s="167">
        <v>2017</v>
      </c>
      <c r="H69" s="165">
        <v>2</v>
      </c>
      <c r="I69" s="165">
        <v>30259.700000000004</v>
      </c>
      <c r="J69" s="165">
        <v>28593.160000000003</v>
      </c>
      <c r="K69" s="165">
        <v>1666.54</v>
      </c>
      <c r="L69" s="165">
        <v>1949.5199999999995</v>
      </c>
      <c r="M69" s="165">
        <v>-282.97999999999934</v>
      </c>
      <c r="N69" s="165">
        <v>30542.68</v>
      </c>
      <c r="O69" s="165">
        <v>1666.54</v>
      </c>
    </row>
    <row r="70" spans="1:15" x14ac:dyDescent="0.25">
      <c r="A70" s="170" t="s">
        <v>895</v>
      </c>
      <c r="B70" s="170" t="s">
        <v>894</v>
      </c>
      <c r="C70" s="169" t="s">
        <v>722</v>
      </c>
      <c r="D70" s="169" t="s">
        <v>893</v>
      </c>
      <c r="E70" s="169" t="s">
        <v>725</v>
      </c>
      <c r="F70" s="168" t="s">
        <v>719</v>
      </c>
      <c r="G70" s="167">
        <v>2017</v>
      </c>
      <c r="H70" s="165">
        <v>75</v>
      </c>
      <c r="I70" s="165">
        <v>182730.26249999998</v>
      </c>
      <c r="J70" s="165">
        <v>0</v>
      </c>
      <c r="K70" s="165">
        <v>182730.26249999998</v>
      </c>
      <c r="L70" s="165">
        <v>934.85450000000014</v>
      </c>
      <c r="M70" s="165">
        <v>181795.408</v>
      </c>
      <c r="N70" s="165">
        <v>37.97</v>
      </c>
      <c r="O70" s="165">
        <v>181757.43800000002</v>
      </c>
    </row>
    <row r="71" spans="1:15" x14ac:dyDescent="0.25">
      <c r="A71" s="170" t="s">
        <v>892</v>
      </c>
      <c r="B71" s="170" t="s">
        <v>891</v>
      </c>
      <c r="C71" s="169" t="s">
        <v>722</v>
      </c>
      <c r="D71" s="169" t="s">
        <v>890</v>
      </c>
      <c r="E71" s="169" t="s">
        <v>239</v>
      </c>
      <c r="F71" s="168" t="s">
        <v>719</v>
      </c>
      <c r="G71" s="167">
        <v>2017</v>
      </c>
      <c r="H71" s="165">
        <v>133.86000000000001</v>
      </c>
      <c r="I71" s="165">
        <v>443016.79232000001</v>
      </c>
      <c r="J71" s="165">
        <v>0</v>
      </c>
      <c r="K71" s="165">
        <v>443016.79232000001</v>
      </c>
      <c r="L71" s="165">
        <v>722.31464000000005</v>
      </c>
      <c r="M71" s="165">
        <v>442294.47767999995</v>
      </c>
      <c r="N71" s="165">
        <v>0</v>
      </c>
      <c r="O71" s="165">
        <v>442294.47767999995</v>
      </c>
    </row>
    <row r="72" spans="1:15" x14ac:dyDescent="0.25">
      <c r="A72" s="170" t="s">
        <v>889</v>
      </c>
      <c r="B72" s="170" t="s">
        <v>888</v>
      </c>
      <c r="C72" s="169" t="s">
        <v>722</v>
      </c>
      <c r="D72" s="169" t="s">
        <v>887</v>
      </c>
      <c r="E72" s="169" t="s">
        <v>720</v>
      </c>
      <c r="F72" s="168" t="s">
        <v>719</v>
      </c>
      <c r="G72" s="167">
        <v>2017</v>
      </c>
      <c r="H72" s="165">
        <v>100</v>
      </c>
      <c r="I72" s="165">
        <v>238775.67881453456</v>
      </c>
      <c r="J72" s="165">
        <v>21012.840983350245</v>
      </c>
      <c r="K72" s="165">
        <v>238775.67881453456</v>
      </c>
      <c r="L72" s="165">
        <v>11656.631021068408</v>
      </c>
      <c r="M72" s="165">
        <v>217762.83783118433</v>
      </c>
      <c r="N72" s="165">
        <v>21012.840983350245</v>
      </c>
      <c r="O72" s="165">
        <v>217762.83783118433</v>
      </c>
    </row>
    <row r="73" spans="1:15" x14ac:dyDescent="0.25">
      <c r="A73" s="170" t="s">
        <v>886</v>
      </c>
      <c r="B73" s="170" t="s">
        <v>885</v>
      </c>
      <c r="C73" s="169" t="s">
        <v>722</v>
      </c>
      <c r="D73" s="169" t="s">
        <v>884</v>
      </c>
      <c r="E73" s="169" t="s">
        <v>754</v>
      </c>
      <c r="F73" s="168" t="s">
        <v>719</v>
      </c>
      <c r="G73" s="167">
        <v>2017</v>
      </c>
      <c r="H73" s="165">
        <v>10</v>
      </c>
      <c r="I73" s="165">
        <v>36574.576874999999</v>
      </c>
      <c r="J73" s="165">
        <v>0</v>
      </c>
      <c r="K73" s="165">
        <v>36574.576874999999</v>
      </c>
      <c r="L73" s="165">
        <v>9.3432446289062501</v>
      </c>
      <c r="M73" s="165">
        <v>36524.642809168246</v>
      </c>
      <c r="N73" s="165">
        <v>0</v>
      </c>
      <c r="O73" s="165">
        <v>36314.641478999991</v>
      </c>
    </row>
    <row r="74" spans="1:15" x14ac:dyDescent="0.25">
      <c r="A74" s="170" t="s">
        <v>883</v>
      </c>
      <c r="B74" s="170" t="s">
        <v>882</v>
      </c>
      <c r="C74" s="169" t="s">
        <v>722</v>
      </c>
      <c r="D74" s="169" t="s">
        <v>881</v>
      </c>
      <c r="E74" s="169" t="s">
        <v>720</v>
      </c>
      <c r="F74" s="168" t="s">
        <v>719</v>
      </c>
      <c r="G74" s="167">
        <v>2017</v>
      </c>
      <c r="H74" s="165">
        <v>50</v>
      </c>
      <c r="I74" s="165">
        <v>85288.696769115442</v>
      </c>
      <c r="J74" s="165">
        <v>6936.132748115434</v>
      </c>
      <c r="K74" s="165">
        <v>78352.564020999998</v>
      </c>
      <c r="L74" s="165">
        <v>7552.3658296056146</v>
      </c>
      <c r="M74" s="165">
        <v>70800.198191394389</v>
      </c>
      <c r="N74" s="165">
        <v>14488.49857772105</v>
      </c>
      <c r="O74" s="165">
        <v>78352.564020999998</v>
      </c>
    </row>
    <row r="75" spans="1:15" x14ac:dyDescent="0.25">
      <c r="A75" s="170" t="s">
        <v>880</v>
      </c>
      <c r="B75" s="170" t="s">
        <v>879</v>
      </c>
      <c r="C75" s="169" t="s">
        <v>722</v>
      </c>
      <c r="D75" s="169" t="s">
        <v>878</v>
      </c>
      <c r="E75" s="169" t="s">
        <v>239</v>
      </c>
      <c r="F75" s="168" t="s">
        <v>719</v>
      </c>
      <c r="G75" s="167">
        <v>2017</v>
      </c>
      <c r="H75" s="165">
        <v>27</v>
      </c>
      <c r="I75" s="165">
        <v>85211.869000000006</v>
      </c>
      <c r="J75" s="165">
        <v>134.65175000000002</v>
      </c>
      <c r="K75" s="165">
        <v>85211.869000000006</v>
      </c>
      <c r="L75" s="165">
        <v>134.65175000000002</v>
      </c>
      <c r="M75" s="165">
        <v>85211.869000000006</v>
      </c>
      <c r="N75" s="165">
        <v>134.65175000000002</v>
      </c>
      <c r="O75" s="165">
        <v>85211.869000000006</v>
      </c>
    </row>
    <row r="76" spans="1:15" x14ac:dyDescent="0.25">
      <c r="A76" s="170" t="s">
        <v>877</v>
      </c>
      <c r="B76" s="170" t="s">
        <v>876</v>
      </c>
      <c r="C76" s="169" t="s">
        <v>722</v>
      </c>
      <c r="D76" s="169" t="s">
        <v>875</v>
      </c>
      <c r="E76" s="169" t="s">
        <v>239</v>
      </c>
      <c r="F76" s="168" t="s">
        <v>719</v>
      </c>
      <c r="G76" s="167">
        <v>2017</v>
      </c>
      <c r="H76" s="165">
        <v>80</v>
      </c>
      <c r="I76" s="165">
        <v>271094.76800799998</v>
      </c>
      <c r="J76" s="165">
        <v>0</v>
      </c>
      <c r="K76" s="165">
        <v>271094.76800799998</v>
      </c>
      <c r="L76" s="165">
        <v>85.968000000000004</v>
      </c>
      <c r="M76" s="165">
        <v>271008.80000799999</v>
      </c>
      <c r="N76" s="165">
        <v>0</v>
      </c>
      <c r="O76" s="165">
        <v>271008.80000799999</v>
      </c>
    </row>
    <row r="77" spans="1:15" x14ac:dyDescent="0.25">
      <c r="A77" s="170" t="s">
        <v>874</v>
      </c>
      <c r="B77" s="170" t="s">
        <v>873</v>
      </c>
      <c r="C77" s="169" t="s">
        <v>722</v>
      </c>
      <c r="D77" s="169" t="s">
        <v>873</v>
      </c>
      <c r="E77" s="169" t="s">
        <v>725</v>
      </c>
      <c r="F77" s="168" t="s">
        <v>719</v>
      </c>
      <c r="G77" s="167">
        <v>2017</v>
      </c>
      <c r="H77" s="165">
        <v>10</v>
      </c>
      <c r="I77" s="165">
        <v>21585.008901999998</v>
      </c>
      <c r="J77" s="165">
        <v>0</v>
      </c>
      <c r="K77" s="165">
        <v>21585.008901999998</v>
      </c>
      <c r="L77" s="165">
        <v>82.262625000000014</v>
      </c>
      <c r="M77" s="165">
        <v>21502.746276999998</v>
      </c>
      <c r="N77" s="165">
        <v>30.863</v>
      </c>
      <c r="O77" s="165">
        <v>21585.008901999998</v>
      </c>
    </row>
    <row r="78" spans="1:15" x14ac:dyDescent="0.25">
      <c r="A78" s="170" t="s">
        <v>872</v>
      </c>
      <c r="B78" s="170" t="s">
        <v>871</v>
      </c>
      <c r="C78" s="169" t="s">
        <v>722</v>
      </c>
      <c r="D78" s="169" t="s">
        <v>870</v>
      </c>
      <c r="E78" s="169" t="s">
        <v>754</v>
      </c>
      <c r="F78" s="168" t="s">
        <v>719</v>
      </c>
      <c r="G78" s="167">
        <v>2017</v>
      </c>
      <c r="H78" s="165">
        <v>2.415</v>
      </c>
      <c r="I78" s="165">
        <v>0</v>
      </c>
      <c r="J78" s="165">
        <v>-51571</v>
      </c>
      <c r="K78" s="165">
        <v>51571</v>
      </c>
      <c r="L78" s="165">
        <v>-4533946</v>
      </c>
      <c r="M78" s="165">
        <v>4585517</v>
      </c>
      <c r="N78" s="165">
        <v>4585517</v>
      </c>
      <c r="O78" s="165">
        <v>0</v>
      </c>
    </row>
    <row r="79" spans="1:15" x14ac:dyDescent="0.25">
      <c r="A79" s="170" t="s">
        <v>869</v>
      </c>
      <c r="B79" s="170" t="s">
        <v>868</v>
      </c>
      <c r="C79" s="169" t="s">
        <v>722</v>
      </c>
      <c r="D79" s="169" t="s">
        <v>867</v>
      </c>
      <c r="E79" s="169" t="s">
        <v>239</v>
      </c>
      <c r="F79" s="168" t="s">
        <v>719</v>
      </c>
      <c r="G79" s="167">
        <v>2017</v>
      </c>
      <c r="H79" s="165">
        <v>138.96</v>
      </c>
      <c r="I79" s="165">
        <v>104867.887</v>
      </c>
      <c r="J79" s="165">
        <v>2997.6130000000003</v>
      </c>
      <c r="K79" s="165">
        <v>101870.274</v>
      </c>
      <c r="L79" s="165">
        <v>44.903000000000006</v>
      </c>
      <c r="M79" s="165">
        <v>101825.371</v>
      </c>
      <c r="N79" s="165">
        <v>0</v>
      </c>
      <c r="O79" s="165">
        <v>101905.72803</v>
      </c>
    </row>
    <row r="80" spans="1:15" ht="24.75" x14ac:dyDescent="0.25">
      <c r="A80" s="170" t="s">
        <v>866</v>
      </c>
      <c r="B80" s="170" t="s">
        <v>865</v>
      </c>
      <c r="C80" s="169" t="s">
        <v>722</v>
      </c>
      <c r="D80" s="169" t="s">
        <v>864</v>
      </c>
      <c r="E80" s="169" t="s">
        <v>239</v>
      </c>
      <c r="F80" s="168" t="s">
        <v>719</v>
      </c>
      <c r="G80" s="167">
        <v>2017</v>
      </c>
      <c r="H80" s="165">
        <v>96.48</v>
      </c>
      <c r="I80" s="165">
        <v>81451.952000000005</v>
      </c>
      <c r="J80" s="165">
        <v>2636.3670000000002</v>
      </c>
      <c r="K80" s="165">
        <v>78815.585000000006</v>
      </c>
      <c r="L80" s="165">
        <v>59.94</v>
      </c>
      <c r="M80" s="165">
        <v>78755.645000000004</v>
      </c>
      <c r="N80" s="165">
        <v>0</v>
      </c>
      <c r="O80" s="165">
        <v>78822.672010000009</v>
      </c>
    </row>
    <row r="81" spans="1:16" x14ac:dyDescent="0.25">
      <c r="A81" s="170" t="s">
        <v>863</v>
      </c>
      <c r="B81" s="170" t="s">
        <v>862</v>
      </c>
      <c r="C81" s="169" t="s">
        <v>722</v>
      </c>
      <c r="D81" s="169" t="s">
        <v>861</v>
      </c>
      <c r="E81" s="169" t="s">
        <v>785</v>
      </c>
      <c r="F81" s="168" t="s">
        <v>719</v>
      </c>
      <c r="G81" s="167">
        <v>2017</v>
      </c>
      <c r="H81" s="165">
        <v>4.2480000000000002</v>
      </c>
      <c r="I81" s="165">
        <v>15327.490787499999</v>
      </c>
      <c r="J81" s="165">
        <v>0</v>
      </c>
      <c r="K81" s="165">
        <v>15327.490787499999</v>
      </c>
      <c r="L81" s="165">
        <v>543.47126749999995</v>
      </c>
      <c r="M81" s="165">
        <v>14784.01952</v>
      </c>
      <c r="N81" s="165">
        <v>0</v>
      </c>
      <c r="O81" s="165">
        <v>14784.01952</v>
      </c>
      <c r="P81" s="157">
        <f>O81/(H81*8760)</f>
        <v>0.39728659632467384</v>
      </c>
    </row>
    <row r="82" spans="1:16" ht="24.75" x14ac:dyDescent="0.25">
      <c r="A82" s="170" t="s">
        <v>860</v>
      </c>
      <c r="B82" s="170" t="s">
        <v>859</v>
      </c>
      <c r="C82" s="169" t="s">
        <v>722</v>
      </c>
      <c r="D82" s="169" t="s">
        <v>858</v>
      </c>
      <c r="E82" s="169" t="s">
        <v>857</v>
      </c>
      <c r="F82" s="168" t="s">
        <v>719</v>
      </c>
      <c r="G82" s="167">
        <v>2017</v>
      </c>
      <c r="H82" s="165">
        <v>75</v>
      </c>
      <c r="I82" s="165">
        <v>830203.11260369548</v>
      </c>
      <c r="J82" s="165">
        <v>0</v>
      </c>
      <c r="K82" s="165">
        <v>830203.11260369548</v>
      </c>
      <c r="L82" s="165">
        <v>138922.29478763984</v>
      </c>
      <c r="M82" s="165">
        <v>969125.40739133535</v>
      </c>
      <c r="N82" s="165">
        <v>781865.4529336954</v>
      </c>
      <c r="O82" s="165">
        <v>187731.61095399997</v>
      </c>
    </row>
    <row r="83" spans="1:16" x14ac:dyDescent="0.25">
      <c r="A83" s="170" t="s">
        <v>856</v>
      </c>
      <c r="B83" s="170" t="s">
        <v>855</v>
      </c>
      <c r="C83" s="169" t="s">
        <v>722</v>
      </c>
      <c r="D83" s="169" t="s">
        <v>854</v>
      </c>
      <c r="E83" s="169" t="s">
        <v>853</v>
      </c>
      <c r="F83" s="168" t="s">
        <v>719</v>
      </c>
      <c r="G83" s="167">
        <v>2017</v>
      </c>
      <c r="H83" s="165">
        <v>5.0999999999999996</v>
      </c>
      <c r="I83" s="165">
        <v>10391</v>
      </c>
      <c r="J83" s="165">
        <v>0</v>
      </c>
      <c r="K83" s="165">
        <v>10391</v>
      </c>
      <c r="L83" s="165">
        <v>83507</v>
      </c>
      <c r="M83" s="165">
        <v>0</v>
      </c>
      <c r="N83" s="165">
        <v>93898</v>
      </c>
      <c r="O83" s="165">
        <v>0</v>
      </c>
    </row>
    <row r="84" spans="1:16" x14ac:dyDescent="0.25">
      <c r="A84" s="170" t="s">
        <v>852</v>
      </c>
      <c r="B84" s="170" t="s">
        <v>851</v>
      </c>
      <c r="C84" s="169" t="s">
        <v>722</v>
      </c>
      <c r="D84" s="169" t="s">
        <v>850</v>
      </c>
      <c r="E84" s="169" t="s">
        <v>725</v>
      </c>
      <c r="F84" s="168" t="s">
        <v>719</v>
      </c>
      <c r="G84" s="167">
        <v>2017</v>
      </c>
      <c r="H84" s="165">
        <v>10</v>
      </c>
      <c r="I84" s="165">
        <v>20717.605040000002</v>
      </c>
      <c r="J84" s="165">
        <v>0</v>
      </c>
      <c r="K84" s="165">
        <v>20717.605040000002</v>
      </c>
      <c r="L84" s="165">
        <v>142.68472</v>
      </c>
      <c r="M84" s="165">
        <v>20717.605040000002</v>
      </c>
      <c r="N84" s="165">
        <v>113.73269000000001</v>
      </c>
      <c r="O84" s="165">
        <v>20717.605040000002</v>
      </c>
    </row>
    <row r="85" spans="1:16" x14ac:dyDescent="0.25">
      <c r="A85" s="170" t="s">
        <v>849</v>
      </c>
      <c r="B85" s="170" t="s">
        <v>848</v>
      </c>
      <c r="C85" s="169" t="s">
        <v>722</v>
      </c>
      <c r="D85" s="169" t="s">
        <v>848</v>
      </c>
      <c r="E85" s="169" t="s">
        <v>725</v>
      </c>
      <c r="F85" s="168" t="s">
        <v>719</v>
      </c>
      <c r="G85" s="167">
        <v>2017</v>
      </c>
      <c r="H85" s="165">
        <v>20</v>
      </c>
      <c r="I85" s="165">
        <v>41982.508999999991</v>
      </c>
      <c r="J85" s="165">
        <v>0</v>
      </c>
      <c r="K85" s="165">
        <v>41982.508999999991</v>
      </c>
      <c r="L85" s="165">
        <v>300.75925000000001</v>
      </c>
      <c r="M85" s="165">
        <v>41982.508999999991</v>
      </c>
      <c r="N85" s="165">
        <v>192.06117</v>
      </c>
      <c r="O85" s="165">
        <v>41982.508999999991</v>
      </c>
    </row>
    <row r="86" spans="1:16" x14ac:dyDescent="0.25">
      <c r="A86" s="170" t="s">
        <v>847</v>
      </c>
      <c r="B86" s="170" t="s">
        <v>846</v>
      </c>
      <c r="C86" s="169" t="s">
        <v>722</v>
      </c>
      <c r="D86" s="169" t="s">
        <v>845</v>
      </c>
      <c r="E86" s="169" t="s">
        <v>725</v>
      </c>
      <c r="F86" s="168" t="s">
        <v>719</v>
      </c>
      <c r="G86" s="167">
        <v>2017</v>
      </c>
      <c r="H86" s="165">
        <v>75</v>
      </c>
      <c r="I86" s="165">
        <v>170023.99404047197</v>
      </c>
      <c r="J86" s="165">
        <v>0</v>
      </c>
      <c r="K86" s="165">
        <v>170023.99404047197</v>
      </c>
      <c r="L86" s="165">
        <v>727.67416357000002</v>
      </c>
      <c r="M86" s="165">
        <v>170023.99404047197</v>
      </c>
      <c r="N86" s="165">
        <v>0</v>
      </c>
      <c r="O86" s="165">
        <v>170023.99404047197</v>
      </c>
    </row>
    <row r="87" spans="1:16" x14ac:dyDescent="0.25">
      <c r="A87" s="170" t="s">
        <v>844</v>
      </c>
      <c r="B87" s="170" t="s">
        <v>843</v>
      </c>
      <c r="C87" s="169" t="s">
        <v>756</v>
      </c>
      <c r="D87" s="169" t="s">
        <v>842</v>
      </c>
      <c r="E87" s="169" t="s">
        <v>785</v>
      </c>
      <c r="F87" s="168" t="s">
        <v>719</v>
      </c>
      <c r="G87" s="167">
        <v>2017</v>
      </c>
      <c r="H87" s="165">
        <v>40</v>
      </c>
      <c r="I87" s="165">
        <v>0</v>
      </c>
      <c r="J87" s="165">
        <v>0</v>
      </c>
      <c r="K87" s="165">
        <v>0</v>
      </c>
      <c r="L87" s="165">
        <v>3.24</v>
      </c>
      <c r="M87" s="165">
        <v>-3.24</v>
      </c>
      <c r="N87" s="165">
        <v>3.24</v>
      </c>
      <c r="O87" s="165">
        <v>0</v>
      </c>
      <c r="P87" s="157">
        <f>O87/(H87*8760)</f>
        <v>0</v>
      </c>
    </row>
    <row r="88" spans="1:16" x14ac:dyDescent="0.25">
      <c r="A88" s="170" t="s">
        <v>841</v>
      </c>
      <c r="B88" s="170" t="s">
        <v>840</v>
      </c>
      <c r="C88" s="169" t="s">
        <v>722</v>
      </c>
      <c r="D88" s="169" t="s">
        <v>839</v>
      </c>
      <c r="E88" s="169" t="s">
        <v>785</v>
      </c>
      <c r="F88" s="168" t="s">
        <v>719</v>
      </c>
      <c r="G88" s="167">
        <v>2017</v>
      </c>
      <c r="H88" s="165">
        <v>13</v>
      </c>
      <c r="I88" s="165">
        <v>4330.3919999999998</v>
      </c>
      <c r="J88" s="165">
        <v>0</v>
      </c>
      <c r="K88" s="165">
        <v>4330.3919999999998</v>
      </c>
      <c r="L88" s="165">
        <v>0</v>
      </c>
      <c r="M88" s="165">
        <v>4330.3919999999998</v>
      </c>
      <c r="N88" s="165">
        <v>0</v>
      </c>
      <c r="O88" s="165">
        <v>4330.3919999999998</v>
      </c>
      <c r="P88" s="157">
        <f>O88/(H88*8760)</f>
        <v>3.8025922023182293E-2</v>
      </c>
    </row>
    <row r="89" spans="1:16" x14ac:dyDescent="0.25">
      <c r="A89" s="170" t="s">
        <v>838</v>
      </c>
      <c r="B89" s="170" t="s">
        <v>837</v>
      </c>
      <c r="C89" s="169" t="s">
        <v>722</v>
      </c>
      <c r="D89" s="169" t="s">
        <v>836</v>
      </c>
      <c r="E89" s="169" t="s">
        <v>239</v>
      </c>
      <c r="F89" s="168" t="s">
        <v>719</v>
      </c>
      <c r="G89" s="167">
        <v>2017</v>
      </c>
      <c r="H89" s="165">
        <v>86.6</v>
      </c>
      <c r="I89" s="165">
        <v>250053.76015399999</v>
      </c>
      <c r="J89" s="165">
        <v>0</v>
      </c>
      <c r="K89" s="165">
        <v>250053.76015399999</v>
      </c>
      <c r="L89" s="165">
        <v>384.18799999999999</v>
      </c>
      <c r="M89" s="165">
        <v>249669.57215399999</v>
      </c>
      <c r="N89" s="165">
        <v>0</v>
      </c>
      <c r="O89" s="165">
        <v>249669.57215399999</v>
      </c>
    </row>
    <row r="90" spans="1:16" x14ac:dyDescent="0.25">
      <c r="A90" s="170" t="s">
        <v>835</v>
      </c>
      <c r="B90" s="170" t="s">
        <v>834</v>
      </c>
      <c r="C90" s="169" t="s">
        <v>722</v>
      </c>
      <c r="D90" s="169" t="s">
        <v>833</v>
      </c>
      <c r="E90" s="170" t="s">
        <v>725</v>
      </c>
      <c r="F90" s="168" t="s">
        <v>719</v>
      </c>
      <c r="G90" s="167">
        <v>2017</v>
      </c>
      <c r="H90" s="165">
        <v>64</v>
      </c>
      <c r="I90" s="165">
        <v>150559.6253175</v>
      </c>
      <c r="J90" s="165">
        <v>1170.102062500011</v>
      </c>
      <c r="K90" s="165">
        <v>149389.52525000001</v>
      </c>
      <c r="L90" s="165">
        <v>0</v>
      </c>
      <c r="M90" s="165">
        <v>149389.52525000001</v>
      </c>
      <c r="N90" s="165">
        <v>0</v>
      </c>
      <c r="O90" s="165">
        <v>149389.52525000001</v>
      </c>
    </row>
    <row r="91" spans="1:16" x14ac:dyDescent="0.25">
      <c r="A91" s="170" t="s">
        <v>832</v>
      </c>
      <c r="B91" s="170" t="s">
        <v>831</v>
      </c>
      <c r="C91" s="169" t="s">
        <v>722</v>
      </c>
      <c r="D91" s="169" t="s">
        <v>830</v>
      </c>
      <c r="E91" s="169" t="s">
        <v>785</v>
      </c>
      <c r="F91" s="168" t="s">
        <v>719</v>
      </c>
      <c r="G91" s="167">
        <v>2017</v>
      </c>
      <c r="H91" s="166">
        <v>10.7</v>
      </c>
      <c r="I91" s="165">
        <v>7454.7800000000007</v>
      </c>
      <c r="J91" s="165">
        <v>399.28999999999996</v>
      </c>
      <c r="K91" s="165">
        <v>7055.49</v>
      </c>
      <c r="L91" s="165">
        <v>0</v>
      </c>
      <c r="M91" s="165">
        <v>7055.49</v>
      </c>
      <c r="N91" s="165">
        <v>0</v>
      </c>
      <c r="O91" s="165">
        <v>7055.49</v>
      </c>
      <c r="P91" s="157">
        <f>O91/(H91*8760)</f>
        <v>7.5273012418384327E-2</v>
      </c>
    </row>
    <row r="92" spans="1:16" x14ac:dyDescent="0.25">
      <c r="A92" s="170" t="s">
        <v>829</v>
      </c>
      <c r="B92" s="170" t="s">
        <v>828</v>
      </c>
      <c r="C92" s="169" t="s">
        <v>722</v>
      </c>
      <c r="D92" s="169" t="s">
        <v>827</v>
      </c>
      <c r="E92" s="169" t="s">
        <v>725</v>
      </c>
      <c r="F92" s="168" t="s">
        <v>719</v>
      </c>
      <c r="G92" s="167">
        <v>2017</v>
      </c>
      <c r="H92" s="166">
        <v>75</v>
      </c>
      <c r="I92" s="165">
        <v>146726.672017</v>
      </c>
      <c r="J92" s="165">
        <v>0</v>
      </c>
      <c r="K92" s="165">
        <v>146726.672017</v>
      </c>
      <c r="L92" s="165">
        <v>1073.0819999999999</v>
      </c>
      <c r="M92" s="165">
        <v>145653.59001699998</v>
      </c>
      <c r="N92" s="165">
        <v>0</v>
      </c>
      <c r="O92" s="165">
        <v>145653.59001699998</v>
      </c>
    </row>
    <row r="93" spans="1:16" x14ac:dyDescent="0.25">
      <c r="A93" s="170" t="s">
        <v>825</v>
      </c>
      <c r="B93" s="170" t="s">
        <v>824</v>
      </c>
      <c r="C93" s="169" t="s">
        <v>722</v>
      </c>
      <c r="D93" s="169" t="s">
        <v>826</v>
      </c>
      <c r="E93" s="169" t="s">
        <v>744</v>
      </c>
      <c r="F93" s="168" t="s">
        <v>719</v>
      </c>
      <c r="G93" s="167">
        <v>2017</v>
      </c>
      <c r="H93" s="166">
        <v>4</v>
      </c>
      <c r="I93" s="165">
        <v>60857</v>
      </c>
      <c r="J93" s="165">
        <v>0</v>
      </c>
      <c r="K93" s="165">
        <v>60857</v>
      </c>
      <c r="L93" s="165">
        <v>8144</v>
      </c>
      <c r="M93" s="165">
        <v>55423</v>
      </c>
      <c r="N93" s="165">
        <v>66006</v>
      </c>
      <c r="O93" s="165">
        <v>2996</v>
      </c>
    </row>
    <row r="94" spans="1:16" x14ac:dyDescent="0.25">
      <c r="A94" s="170" t="s">
        <v>825</v>
      </c>
      <c r="B94" s="170" t="s">
        <v>824</v>
      </c>
      <c r="C94" s="169" t="s">
        <v>722</v>
      </c>
      <c r="D94" s="169" t="s">
        <v>823</v>
      </c>
      <c r="E94" s="169" t="s">
        <v>744</v>
      </c>
      <c r="F94" s="168" t="s">
        <v>719</v>
      </c>
      <c r="G94" s="167">
        <v>2017</v>
      </c>
      <c r="H94" s="166">
        <v>3.5</v>
      </c>
      <c r="I94" s="165">
        <v>85537.72</v>
      </c>
      <c r="J94" s="165">
        <v>0</v>
      </c>
      <c r="K94" s="165">
        <v>85555</v>
      </c>
      <c r="L94" s="165">
        <v>3482.8999999999996</v>
      </c>
      <c r="M94" s="165">
        <v>82072.099999999991</v>
      </c>
      <c r="N94" s="165">
        <v>71474.203689999995</v>
      </c>
      <c r="O94" s="165">
        <v>14175.86131</v>
      </c>
    </row>
    <row r="95" spans="1:16" x14ac:dyDescent="0.25">
      <c r="A95" s="170" t="s">
        <v>822</v>
      </c>
      <c r="B95" s="170" t="s">
        <v>821</v>
      </c>
      <c r="C95" s="169" t="s">
        <v>722</v>
      </c>
      <c r="D95" s="169" t="s">
        <v>820</v>
      </c>
      <c r="E95" s="169" t="s">
        <v>725</v>
      </c>
      <c r="F95" s="168" t="s">
        <v>719</v>
      </c>
      <c r="G95" s="167">
        <v>2017</v>
      </c>
      <c r="H95" s="166">
        <v>75</v>
      </c>
      <c r="I95" s="165">
        <v>186582.82770000002</v>
      </c>
      <c r="J95" s="165">
        <v>2012.0666768999999</v>
      </c>
      <c r="K95" s="165">
        <v>184570.76102310003</v>
      </c>
      <c r="L95" s="165">
        <v>2306.8263231000001</v>
      </c>
      <c r="M95" s="165">
        <v>172427.45259148104</v>
      </c>
      <c r="N95" s="165">
        <v>151.15480000000002</v>
      </c>
      <c r="O95" s="165">
        <v>179586.87547821802</v>
      </c>
    </row>
    <row r="96" spans="1:16" x14ac:dyDescent="0.25">
      <c r="A96" s="170" t="s">
        <v>819</v>
      </c>
      <c r="B96" s="170" t="s">
        <v>818</v>
      </c>
      <c r="C96" s="169" t="s">
        <v>722</v>
      </c>
      <c r="D96" s="169" t="s">
        <v>817</v>
      </c>
      <c r="E96" s="169" t="s">
        <v>239</v>
      </c>
      <c r="F96" s="168" t="s">
        <v>719</v>
      </c>
      <c r="G96" s="167">
        <v>2017</v>
      </c>
      <c r="H96" s="166">
        <v>138.6</v>
      </c>
      <c r="I96" s="165">
        <v>329489.94500000007</v>
      </c>
      <c r="J96" s="165">
        <v>0</v>
      </c>
      <c r="K96" s="165">
        <v>329489.94500000007</v>
      </c>
      <c r="L96" s="165">
        <v>1403.9540000000004</v>
      </c>
      <c r="M96" s="165">
        <v>329489.94500000007</v>
      </c>
      <c r="N96" s="165">
        <v>0</v>
      </c>
      <c r="O96" s="165">
        <v>321318.712</v>
      </c>
    </row>
    <row r="97" spans="1:16" x14ac:dyDescent="0.25">
      <c r="A97" s="170" t="s">
        <v>816</v>
      </c>
      <c r="B97" s="170" t="s">
        <v>815</v>
      </c>
      <c r="C97" s="169" t="s">
        <v>722</v>
      </c>
      <c r="D97" s="169" t="s">
        <v>814</v>
      </c>
      <c r="E97" s="169" t="s">
        <v>239</v>
      </c>
      <c r="F97" s="168" t="s">
        <v>719</v>
      </c>
      <c r="G97" s="167">
        <v>2017</v>
      </c>
      <c r="H97" s="166">
        <v>27</v>
      </c>
      <c r="I97" s="165">
        <v>71416.50242199999</v>
      </c>
      <c r="J97" s="165">
        <v>0</v>
      </c>
      <c r="K97" s="165">
        <v>71416.50242199999</v>
      </c>
      <c r="L97" s="165">
        <v>88.842099999999988</v>
      </c>
      <c r="M97" s="165">
        <v>71327.660321999996</v>
      </c>
      <c r="N97" s="165">
        <v>0</v>
      </c>
      <c r="O97" s="165">
        <v>71416.50242199999</v>
      </c>
    </row>
    <row r="98" spans="1:16" x14ac:dyDescent="0.25">
      <c r="A98" s="170" t="s">
        <v>813</v>
      </c>
      <c r="B98" s="170" t="s">
        <v>812</v>
      </c>
      <c r="C98" s="169" t="s">
        <v>722</v>
      </c>
      <c r="D98" s="169" t="s">
        <v>812</v>
      </c>
      <c r="E98" s="169" t="s">
        <v>725</v>
      </c>
      <c r="F98" s="168" t="s">
        <v>719</v>
      </c>
      <c r="G98" s="167">
        <v>2017</v>
      </c>
      <c r="H98" s="166">
        <v>7</v>
      </c>
      <c r="I98" s="165">
        <v>11919.713000000002</v>
      </c>
      <c r="J98" s="165">
        <v>0</v>
      </c>
      <c r="K98" s="165">
        <v>11919.713000000002</v>
      </c>
      <c r="L98" s="165">
        <v>0</v>
      </c>
      <c r="M98" s="165">
        <v>11919.713000000002</v>
      </c>
      <c r="N98" s="165">
        <v>0</v>
      </c>
      <c r="O98" s="165">
        <v>11919.713000000002</v>
      </c>
    </row>
    <row r="99" spans="1:16" x14ac:dyDescent="0.25">
      <c r="A99" s="170" t="s">
        <v>811</v>
      </c>
      <c r="B99" s="170" t="s">
        <v>810</v>
      </c>
      <c r="C99" s="169" t="s">
        <v>722</v>
      </c>
      <c r="D99" s="169" t="s">
        <v>809</v>
      </c>
      <c r="E99" s="169" t="s">
        <v>725</v>
      </c>
      <c r="F99" s="168" t="s">
        <v>719</v>
      </c>
      <c r="G99" s="167">
        <v>2017</v>
      </c>
      <c r="H99" s="166">
        <v>48.5</v>
      </c>
      <c r="I99" s="165">
        <v>97408.195000000007</v>
      </c>
      <c r="J99" s="165">
        <v>0</v>
      </c>
      <c r="K99" s="165">
        <v>97408.195000000007</v>
      </c>
      <c r="L99" s="165">
        <v>599.19500000000016</v>
      </c>
      <c r="M99" s="165">
        <v>96809</v>
      </c>
      <c r="N99" s="165">
        <v>0</v>
      </c>
      <c r="O99" s="165">
        <v>96809</v>
      </c>
    </row>
    <row r="100" spans="1:16" x14ac:dyDescent="0.25">
      <c r="A100" s="170" t="s">
        <v>808</v>
      </c>
      <c r="B100" s="170" t="s">
        <v>807</v>
      </c>
      <c r="C100" s="169" t="s">
        <v>722</v>
      </c>
      <c r="D100" s="169" t="s">
        <v>806</v>
      </c>
      <c r="E100" s="169" t="s">
        <v>725</v>
      </c>
      <c r="F100" s="168" t="s">
        <v>719</v>
      </c>
      <c r="G100" s="167">
        <v>2017</v>
      </c>
      <c r="H100" s="166">
        <v>48.5</v>
      </c>
      <c r="I100" s="165">
        <v>91830.391319999995</v>
      </c>
      <c r="J100" s="165">
        <v>0</v>
      </c>
      <c r="K100" s="165">
        <v>91830.391319999995</v>
      </c>
      <c r="L100" s="165">
        <v>576.67500000000018</v>
      </c>
      <c r="M100" s="165">
        <v>91253.716319999992</v>
      </c>
      <c r="N100" s="165">
        <v>0</v>
      </c>
      <c r="O100" s="165">
        <v>91253.716319999992</v>
      </c>
    </row>
    <row r="101" spans="1:16" ht="15.75" customHeight="1" x14ac:dyDescent="0.25">
      <c r="A101" s="170" t="s">
        <v>805</v>
      </c>
      <c r="B101" s="170" t="s">
        <v>804</v>
      </c>
      <c r="C101" s="169" t="s">
        <v>722</v>
      </c>
      <c r="D101" s="169" t="s">
        <v>803</v>
      </c>
      <c r="E101" s="169" t="s">
        <v>239</v>
      </c>
      <c r="F101" s="168" t="s">
        <v>719</v>
      </c>
      <c r="G101" s="167">
        <v>2017</v>
      </c>
      <c r="H101" s="166">
        <v>138</v>
      </c>
      <c r="I101" s="165">
        <v>40357.99</v>
      </c>
      <c r="J101" s="165">
        <v>0</v>
      </c>
      <c r="K101" s="165">
        <v>40357.99</v>
      </c>
      <c r="L101" s="165">
        <v>18.785</v>
      </c>
      <c r="M101" s="165">
        <v>40339.204999999994</v>
      </c>
      <c r="N101" s="165">
        <v>0</v>
      </c>
      <c r="O101" s="165">
        <v>40339.204999999994</v>
      </c>
    </row>
    <row r="102" spans="1:16" x14ac:dyDescent="0.25">
      <c r="A102" s="170" t="s">
        <v>802</v>
      </c>
      <c r="B102" s="170" t="s">
        <v>801</v>
      </c>
      <c r="C102" s="169" t="s">
        <v>722</v>
      </c>
      <c r="D102" s="169" t="s">
        <v>800</v>
      </c>
      <c r="E102" s="169" t="s">
        <v>239</v>
      </c>
      <c r="F102" s="168" t="s">
        <v>719</v>
      </c>
      <c r="G102" s="167">
        <v>2017</v>
      </c>
      <c r="H102" s="166">
        <v>138.22999999999999</v>
      </c>
      <c r="I102" s="165">
        <v>41138.535000000003</v>
      </c>
      <c r="J102" s="165">
        <v>0</v>
      </c>
      <c r="K102" s="165">
        <v>41138.535000000003</v>
      </c>
      <c r="L102" s="165">
        <v>25.31</v>
      </c>
      <c r="M102" s="165">
        <v>41113.225000000006</v>
      </c>
      <c r="N102" s="165">
        <v>0</v>
      </c>
      <c r="O102" s="165">
        <v>41113.225000000006</v>
      </c>
    </row>
    <row r="103" spans="1:16" x14ac:dyDescent="0.25">
      <c r="A103" s="170" t="s">
        <v>799</v>
      </c>
      <c r="B103" s="170" t="s">
        <v>798</v>
      </c>
      <c r="C103" s="169" t="s">
        <v>722</v>
      </c>
      <c r="D103" s="169" t="s">
        <v>797</v>
      </c>
      <c r="E103" s="169" t="s">
        <v>239</v>
      </c>
      <c r="F103" s="168" t="s">
        <v>719</v>
      </c>
      <c r="G103" s="167">
        <v>2017</v>
      </c>
      <c r="H103" s="166">
        <v>79.05</v>
      </c>
      <c r="I103" s="165">
        <v>293126.16894000006</v>
      </c>
      <c r="J103" s="165">
        <v>220.58600000000001</v>
      </c>
      <c r="K103" s="165">
        <v>292905.58293999999</v>
      </c>
      <c r="L103" s="165">
        <v>222.57300000000004</v>
      </c>
      <c r="M103" s="165">
        <v>292683.00994000002</v>
      </c>
      <c r="N103" s="165">
        <v>0</v>
      </c>
      <c r="O103" s="165">
        <v>292683.00994000002</v>
      </c>
    </row>
    <row r="104" spans="1:16" ht="24.75" x14ac:dyDescent="0.25">
      <c r="A104" s="170" t="s">
        <v>795</v>
      </c>
      <c r="B104" s="170" t="s">
        <v>794</v>
      </c>
      <c r="C104" s="169" t="s">
        <v>722</v>
      </c>
      <c r="D104" s="169" t="s">
        <v>796</v>
      </c>
      <c r="E104" s="169" t="s">
        <v>792</v>
      </c>
      <c r="F104" s="168" t="s">
        <v>719</v>
      </c>
      <c r="G104" s="167">
        <v>2017</v>
      </c>
      <c r="H104" s="166">
        <v>2</v>
      </c>
      <c r="I104" s="165">
        <v>228123.61000000002</v>
      </c>
      <c r="J104" s="165">
        <v>1331.0726400000001</v>
      </c>
      <c r="K104" s="165">
        <v>226792.53736000002</v>
      </c>
      <c r="L104" s="165">
        <v>317983.06100000005</v>
      </c>
      <c r="M104" s="165">
        <v>0</v>
      </c>
      <c r="N104" s="165">
        <v>546106.67099999997</v>
      </c>
      <c r="O104" s="165">
        <v>8360.9599999999991</v>
      </c>
    </row>
    <row r="105" spans="1:16" ht="24.75" x14ac:dyDescent="0.25">
      <c r="A105" s="170" t="s">
        <v>795</v>
      </c>
      <c r="B105" s="170" t="s">
        <v>794</v>
      </c>
      <c r="C105" s="169" t="s">
        <v>722</v>
      </c>
      <c r="D105" s="169" t="s">
        <v>793</v>
      </c>
      <c r="E105" s="169" t="s">
        <v>792</v>
      </c>
      <c r="F105" s="168" t="s">
        <v>719</v>
      </c>
      <c r="G105" s="167">
        <v>2017</v>
      </c>
      <c r="H105" s="166">
        <v>2</v>
      </c>
      <c r="I105" s="165">
        <v>852887.00635199994</v>
      </c>
      <c r="J105" s="165">
        <v>0</v>
      </c>
      <c r="K105" s="165">
        <v>852887.00635199994</v>
      </c>
      <c r="L105" s="165">
        <v>26616.463369999972</v>
      </c>
      <c r="M105" s="165">
        <v>56998.388558999904</v>
      </c>
      <c r="N105" s="165">
        <v>822505.08116300008</v>
      </c>
      <c r="O105" s="165">
        <v>87478.294413999916</v>
      </c>
    </row>
    <row r="106" spans="1:16" ht="15.75" x14ac:dyDescent="0.25">
      <c r="A106" s="170" t="s">
        <v>788</v>
      </c>
      <c r="B106" s="170" t="s">
        <v>787</v>
      </c>
      <c r="C106" s="169" t="s">
        <v>722</v>
      </c>
      <c r="D106" s="169" t="s">
        <v>791</v>
      </c>
      <c r="E106" s="169" t="s">
        <v>140</v>
      </c>
      <c r="F106" s="168" t="s">
        <v>719</v>
      </c>
      <c r="G106" s="167">
        <v>2017</v>
      </c>
      <c r="H106" s="324">
        <v>128</v>
      </c>
      <c r="I106" s="165">
        <v>624420.30299999996</v>
      </c>
      <c r="J106" s="165">
        <v>0</v>
      </c>
      <c r="K106" s="165">
        <v>624420.30299999996</v>
      </c>
      <c r="L106" s="165">
        <v>0</v>
      </c>
      <c r="M106" s="165">
        <v>624420.30299999996</v>
      </c>
      <c r="N106" s="165">
        <v>500423.13701900002</v>
      </c>
      <c r="O106" s="165">
        <v>123997.165981</v>
      </c>
      <c r="P106" s="184">
        <f>M106/(H106*8760)</f>
        <v>0.55688169145976019</v>
      </c>
    </row>
    <row r="107" spans="1:16" ht="15.75" x14ac:dyDescent="0.25">
      <c r="A107" s="170" t="s">
        <v>788</v>
      </c>
      <c r="B107" s="170" t="s">
        <v>787</v>
      </c>
      <c r="C107" s="169" t="s">
        <v>722</v>
      </c>
      <c r="D107" s="169" t="s">
        <v>790</v>
      </c>
      <c r="E107" s="169" t="s">
        <v>140</v>
      </c>
      <c r="F107" s="168" t="s">
        <v>719</v>
      </c>
      <c r="G107" s="167">
        <v>2017</v>
      </c>
      <c r="H107" s="324">
        <v>600</v>
      </c>
      <c r="I107" s="165">
        <v>3846458.7125905789</v>
      </c>
      <c r="J107" s="165">
        <v>0</v>
      </c>
      <c r="K107" s="165">
        <v>3846458.7125905789</v>
      </c>
      <c r="L107" s="165">
        <v>0</v>
      </c>
      <c r="M107" s="165">
        <v>3846458.7125905789</v>
      </c>
      <c r="N107" s="165">
        <v>3704578.9715905795</v>
      </c>
      <c r="O107" s="165">
        <v>141879.74100000001</v>
      </c>
      <c r="P107" s="184">
        <f>M107/(H107*8760)</f>
        <v>0.73182243390231716</v>
      </c>
    </row>
    <row r="108" spans="1:16" ht="15.75" x14ac:dyDescent="0.25">
      <c r="A108" s="170" t="s">
        <v>788</v>
      </c>
      <c r="B108" s="170" t="s">
        <v>787</v>
      </c>
      <c r="C108" s="169" t="s">
        <v>722</v>
      </c>
      <c r="D108" s="169" t="s">
        <v>789</v>
      </c>
      <c r="E108" s="169" t="s">
        <v>785</v>
      </c>
      <c r="F108" s="168" t="s">
        <v>719</v>
      </c>
      <c r="G108" s="167">
        <v>2017</v>
      </c>
      <c r="H108" s="324">
        <v>175</v>
      </c>
      <c r="I108" s="165">
        <v>815852.91600000008</v>
      </c>
      <c r="J108" s="165">
        <v>21223.614999999976</v>
      </c>
      <c r="K108" s="165">
        <v>794629.30099999998</v>
      </c>
      <c r="L108" s="165">
        <v>0</v>
      </c>
      <c r="M108" s="165">
        <v>794629.30099999998</v>
      </c>
      <c r="N108" s="165">
        <v>794572.74835200002</v>
      </c>
      <c r="O108" s="165">
        <v>56.552647999999998</v>
      </c>
      <c r="P108" s="184">
        <f>M108/(H108*8760)</f>
        <v>0.51834918525766471</v>
      </c>
    </row>
    <row r="109" spans="1:16" ht="15.75" x14ac:dyDescent="0.25">
      <c r="A109" s="170" t="s">
        <v>788</v>
      </c>
      <c r="B109" s="170" t="s">
        <v>787</v>
      </c>
      <c r="C109" s="169" t="s">
        <v>722</v>
      </c>
      <c r="D109" s="169" t="s">
        <v>786</v>
      </c>
      <c r="E109" s="169" t="s">
        <v>785</v>
      </c>
      <c r="F109" s="168" t="s">
        <v>719</v>
      </c>
      <c r="G109" s="167">
        <v>2017</v>
      </c>
      <c r="H109" s="324">
        <v>252</v>
      </c>
      <c r="I109" s="165">
        <v>1777011.8069999998</v>
      </c>
      <c r="J109" s="165">
        <v>19036.461664987524</v>
      </c>
      <c r="K109" s="165">
        <v>1757975.3453350123</v>
      </c>
      <c r="L109" s="165">
        <v>0</v>
      </c>
      <c r="M109" s="165">
        <v>1757975.3453350123</v>
      </c>
      <c r="N109" s="165">
        <v>1359504.5843350124</v>
      </c>
      <c r="O109" s="165">
        <v>398470.761</v>
      </c>
      <c r="P109" s="184">
        <f>M109/(H109*8760)</f>
        <v>0.79635760733085648</v>
      </c>
    </row>
    <row r="110" spans="1:16" x14ac:dyDescent="0.25">
      <c r="A110" s="170" t="s">
        <v>784</v>
      </c>
      <c r="B110" s="170" t="s">
        <v>783</v>
      </c>
      <c r="C110" s="169" t="s">
        <v>722</v>
      </c>
      <c r="D110" s="169" t="s">
        <v>782</v>
      </c>
      <c r="E110" s="169" t="s">
        <v>725</v>
      </c>
      <c r="F110" s="168" t="s">
        <v>719</v>
      </c>
      <c r="G110" s="167">
        <v>2017</v>
      </c>
      <c r="H110" s="166">
        <v>75</v>
      </c>
      <c r="I110" s="165">
        <v>145984.744484</v>
      </c>
      <c r="J110" s="165">
        <v>0</v>
      </c>
      <c r="K110" s="165">
        <v>145984.744484</v>
      </c>
      <c r="L110" s="165">
        <v>589.51736000000574</v>
      </c>
      <c r="M110" s="165">
        <v>145395.22712399997</v>
      </c>
      <c r="N110" s="165">
        <v>0</v>
      </c>
      <c r="O110" s="165">
        <v>145395.22712399997</v>
      </c>
    </row>
    <row r="111" spans="1:16" x14ac:dyDescent="0.25">
      <c r="A111" s="170" t="s">
        <v>781</v>
      </c>
      <c r="B111" s="170" t="s">
        <v>780</v>
      </c>
      <c r="C111" s="169" t="s">
        <v>722</v>
      </c>
      <c r="D111" s="169" t="s">
        <v>779</v>
      </c>
      <c r="E111" s="169" t="s">
        <v>725</v>
      </c>
      <c r="F111" s="168" t="s">
        <v>719</v>
      </c>
      <c r="G111" s="167">
        <v>2017</v>
      </c>
      <c r="H111" s="166">
        <v>10</v>
      </c>
      <c r="I111" s="165">
        <v>21461.508039999997</v>
      </c>
      <c r="J111" s="165">
        <v>0</v>
      </c>
      <c r="K111" s="165">
        <v>21461.508039999997</v>
      </c>
      <c r="L111" s="165">
        <v>81.064166666666665</v>
      </c>
      <c r="M111" s="165">
        <v>21380.443873333337</v>
      </c>
      <c r="N111" s="165">
        <v>27.298999999999999</v>
      </c>
      <c r="O111" s="165">
        <v>21461.508039999997</v>
      </c>
    </row>
    <row r="112" spans="1:16" x14ac:dyDescent="0.25">
      <c r="A112" s="170" t="s">
        <v>778</v>
      </c>
      <c r="B112" s="170" t="s">
        <v>777</v>
      </c>
      <c r="C112" s="169" t="s">
        <v>722</v>
      </c>
      <c r="D112" s="169" t="s">
        <v>776</v>
      </c>
      <c r="E112" s="169" t="s">
        <v>725</v>
      </c>
      <c r="F112" s="168" t="s">
        <v>719</v>
      </c>
      <c r="G112" s="167">
        <v>2017</v>
      </c>
      <c r="H112" s="166">
        <v>36.799999999999997</v>
      </c>
      <c r="I112" s="165">
        <v>88866.88708</v>
      </c>
      <c r="J112" s="165">
        <v>0</v>
      </c>
      <c r="K112" s="165">
        <v>82487.993679999985</v>
      </c>
      <c r="L112" s="165">
        <v>331.48039999999844</v>
      </c>
      <c r="M112" s="165">
        <v>82147.910559999975</v>
      </c>
      <c r="N112" s="165">
        <v>0</v>
      </c>
      <c r="O112" s="165">
        <v>82147.910559999975</v>
      </c>
    </row>
    <row r="113" spans="1:15" x14ac:dyDescent="0.25">
      <c r="A113" s="170" t="s">
        <v>775</v>
      </c>
      <c r="B113" s="170" t="s">
        <v>774</v>
      </c>
      <c r="C113" s="169" t="s">
        <v>722</v>
      </c>
      <c r="D113" s="169" t="s">
        <v>773</v>
      </c>
      <c r="E113" s="169" t="s">
        <v>725</v>
      </c>
      <c r="F113" s="168" t="s">
        <v>719</v>
      </c>
      <c r="G113" s="167">
        <v>2017</v>
      </c>
      <c r="H113" s="166">
        <v>69.599999999999994</v>
      </c>
      <c r="I113" s="165">
        <v>158612.76344000001</v>
      </c>
      <c r="J113" s="165">
        <v>0</v>
      </c>
      <c r="K113" s="165">
        <v>158612.76344000001</v>
      </c>
      <c r="L113" s="165">
        <v>578.45688000000632</v>
      </c>
      <c r="M113" s="165">
        <v>158034.30655999997</v>
      </c>
      <c r="N113" s="165">
        <v>0</v>
      </c>
      <c r="O113" s="165">
        <v>158034.30655999997</v>
      </c>
    </row>
    <row r="114" spans="1:15" x14ac:dyDescent="0.25">
      <c r="A114" s="170" t="s">
        <v>772</v>
      </c>
      <c r="B114" s="170" t="s">
        <v>771</v>
      </c>
      <c r="C114" s="169" t="s">
        <v>722</v>
      </c>
      <c r="D114" s="169" t="s">
        <v>770</v>
      </c>
      <c r="E114" s="169" t="s">
        <v>725</v>
      </c>
      <c r="F114" s="168" t="s">
        <v>719</v>
      </c>
      <c r="G114" s="167">
        <v>2017</v>
      </c>
      <c r="H114" s="166">
        <v>5</v>
      </c>
      <c r="I114" s="165">
        <v>10635.072630000001</v>
      </c>
      <c r="J114" s="165">
        <v>0</v>
      </c>
      <c r="K114" s="165">
        <v>10635.072630000001</v>
      </c>
      <c r="L114" s="165">
        <v>33.427999999999997</v>
      </c>
      <c r="M114" s="165">
        <v>10635.072630000001</v>
      </c>
      <c r="N114" s="165">
        <v>33.427999999999997</v>
      </c>
      <c r="O114" s="165">
        <v>10635.072630000001</v>
      </c>
    </row>
    <row r="115" spans="1:15" x14ac:dyDescent="0.25">
      <c r="A115" s="170" t="s">
        <v>769</v>
      </c>
      <c r="B115" s="170" t="s">
        <v>768</v>
      </c>
      <c r="C115" s="169" t="s">
        <v>722</v>
      </c>
      <c r="D115" s="169" t="s">
        <v>767</v>
      </c>
      <c r="E115" s="169" t="s">
        <v>725</v>
      </c>
      <c r="F115" s="168" t="s">
        <v>719</v>
      </c>
      <c r="G115" s="167">
        <v>2017</v>
      </c>
      <c r="H115" s="166">
        <v>75</v>
      </c>
      <c r="I115" s="165">
        <v>158252.18637600006</v>
      </c>
      <c r="J115" s="165">
        <v>0</v>
      </c>
      <c r="K115" s="165">
        <v>158252.18637600006</v>
      </c>
      <c r="L115" s="165">
        <v>0</v>
      </c>
      <c r="M115" s="165">
        <v>158252.18637600006</v>
      </c>
      <c r="N115" s="165">
        <v>0</v>
      </c>
      <c r="O115" s="165">
        <v>158252.18637600006</v>
      </c>
    </row>
    <row r="116" spans="1:15" x14ac:dyDescent="0.25">
      <c r="A116" s="170" t="s">
        <v>766</v>
      </c>
      <c r="B116" s="170" t="s">
        <v>765</v>
      </c>
      <c r="C116" s="169" t="s">
        <v>722</v>
      </c>
      <c r="D116" s="169" t="s">
        <v>764</v>
      </c>
      <c r="E116" s="169" t="s">
        <v>725</v>
      </c>
      <c r="F116" s="168" t="s">
        <v>719</v>
      </c>
      <c r="G116" s="167">
        <v>2017</v>
      </c>
      <c r="H116" s="166">
        <v>75</v>
      </c>
      <c r="I116" s="165">
        <v>184923.49873000005</v>
      </c>
      <c r="J116" s="165">
        <v>0</v>
      </c>
      <c r="K116" s="165">
        <v>184923.49873000005</v>
      </c>
      <c r="L116" s="165">
        <v>0</v>
      </c>
      <c r="M116" s="165">
        <v>184923.49873000005</v>
      </c>
      <c r="N116" s="165">
        <v>0</v>
      </c>
      <c r="O116" s="165">
        <v>184923.49873000005</v>
      </c>
    </row>
    <row r="117" spans="1:15" x14ac:dyDescent="0.25">
      <c r="A117" s="170" t="s">
        <v>763</v>
      </c>
      <c r="B117" s="170" t="s">
        <v>762</v>
      </c>
      <c r="C117" s="169" t="s">
        <v>722</v>
      </c>
      <c r="D117" s="169" t="s">
        <v>762</v>
      </c>
      <c r="E117" s="169" t="s">
        <v>754</v>
      </c>
      <c r="F117" s="168" t="s">
        <v>719</v>
      </c>
      <c r="G117" s="167">
        <v>2017</v>
      </c>
      <c r="H117" s="166">
        <v>4.3099999999999996</v>
      </c>
      <c r="I117" s="165">
        <v>31055.950000000008</v>
      </c>
      <c r="J117" s="165">
        <v>0</v>
      </c>
      <c r="K117" s="165">
        <v>31055.950000000008</v>
      </c>
      <c r="L117" s="165">
        <v>122.70400000000001</v>
      </c>
      <c r="M117" s="165">
        <v>30933.245999999999</v>
      </c>
      <c r="N117" s="165">
        <v>5.7</v>
      </c>
      <c r="O117" s="165">
        <v>30927.545999999998</v>
      </c>
    </row>
    <row r="118" spans="1:15" x14ac:dyDescent="0.25">
      <c r="A118" s="170" t="s">
        <v>761</v>
      </c>
      <c r="B118" s="170" t="s">
        <v>760</v>
      </c>
      <c r="C118" s="169" t="s">
        <v>722</v>
      </c>
      <c r="D118" s="169" t="s">
        <v>759</v>
      </c>
      <c r="E118" s="169" t="s">
        <v>725</v>
      </c>
      <c r="F118" s="168" t="s">
        <v>719</v>
      </c>
      <c r="G118" s="167">
        <v>2017</v>
      </c>
      <c r="H118" s="166">
        <v>8.9</v>
      </c>
      <c r="I118" s="165">
        <v>18783.633999999998</v>
      </c>
      <c r="J118" s="165">
        <v>0</v>
      </c>
      <c r="K118" s="165">
        <v>18783.633999999998</v>
      </c>
      <c r="L118" s="165">
        <v>111.12299999999999</v>
      </c>
      <c r="M118" s="165">
        <v>18672.511000000002</v>
      </c>
      <c r="N118" s="165">
        <v>0</v>
      </c>
      <c r="O118" s="165">
        <v>18672.511000000002</v>
      </c>
    </row>
    <row r="119" spans="1:15" x14ac:dyDescent="0.25">
      <c r="A119" s="170" t="s">
        <v>758</v>
      </c>
      <c r="B119" s="170" t="s">
        <v>757</v>
      </c>
      <c r="C119" s="169" t="s">
        <v>756</v>
      </c>
      <c r="D119" s="169" t="s">
        <v>755</v>
      </c>
      <c r="E119" s="169" t="s">
        <v>754</v>
      </c>
      <c r="F119" s="168" t="s">
        <v>719</v>
      </c>
      <c r="G119" s="167">
        <v>2017</v>
      </c>
      <c r="H119" s="166">
        <v>3.35</v>
      </c>
      <c r="I119" s="165">
        <v>9885.3604300000006</v>
      </c>
      <c r="J119" s="165">
        <v>0</v>
      </c>
      <c r="K119" s="165">
        <v>9885.3604300000006</v>
      </c>
      <c r="L119" s="165">
        <v>0</v>
      </c>
      <c r="M119" s="165">
        <v>0</v>
      </c>
      <c r="N119" s="165">
        <v>0</v>
      </c>
      <c r="O119" s="165">
        <v>9885.3604300000006</v>
      </c>
    </row>
    <row r="120" spans="1:15" x14ac:dyDescent="0.25">
      <c r="A120" s="170" t="s">
        <v>753</v>
      </c>
      <c r="B120" s="170" t="s">
        <v>752</v>
      </c>
      <c r="C120" s="169" t="s">
        <v>722</v>
      </c>
      <c r="D120" s="169" t="s">
        <v>751</v>
      </c>
      <c r="E120" s="169" t="s">
        <v>725</v>
      </c>
      <c r="F120" s="168" t="s">
        <v>719</v>
      </c>
      <c r="G120" s="167">
        <v>2017</v>
      </c>
      <c r="H120" s="166">
        <v>60</v>
      </c>
      <c r="I120" s="165">
        <v>116393.06302200002</v>
      </c>
      <c r="J120" s="165">
        <v>0</v>
      </c>
      <c r="K120" s="165">
        <v>116393.06302200002</v>
      </c>
      <c r="L120" s="165">
        <v>1077.2</v>
      </c>
      <c r="M120" s="165">
        <v>115315.86302200001</v>
      </c>
      <c r="N120" s="165">
        <v>0</v>
      </c>
      <c r="O120" s="165">
        <v>115315.86302200001</v>
      </c>
    </row>
    <row r="121" spans="1:15" x14ac:dyDescent="0.25">
      <c r="A121" s="170" t="s">
        <v>747</v>
      </c>
      <c r="B121" s="170" t="s">
        <v>746</v>
      </c>
      <c r="C121" s="169" t="s">
        <v>722</v>
      </c>
      <c r="D121" s="169" t="s">
        <v>750</v>
      </c>
      <c r="E121" s="169" t="s">
        <v>744</v>
      </c>
      <c r="F121" s="168" t="s">
        <v>719</v>
      </c>
      <c r="G121" s="167">
        <v>2017</v>
      </c>
      <c r="H121" s="166">
        <v>12</v>
      </c>
      <c r="I121" s="165">
        <v>32778</v>
      </c>
      <c r="J121" s="165">
        <v>0</v>
      </c>
      <c r="K121" s="165">
        <v>32778</v>
      </c>
      <c r="L121" s="165">
        <v>7788.3</v>
      </c>
      <c r="M121" s="165">
        <v>40566.300000000003</v>
      </c>
      <c r="N121" s="165">
        <v>39675.400000000009</v>
      </c>
      <c r="O121" s="165">
        <v>890.90000000000009</v>
      </c>
    </row>
    <row r="122" spans="1:15" x14ac:dyDescent="0.25">
      <c r="A122" s="170" t="s">
        <v>747</v>
      </c>
      <c r="B122" s="170" t="s">
        <v>746</v>
      </c>
      <c r="C122" s="169" t="s">
        <v>722</v>
      </c>
      <c r="D122" s="169" t="s">
        <v>749</v>
      </c>
      <c r="E122" s="169" t="s">
        <v>744</v>
      </c>
      <c r="F122" s="168" t="s">
        <v>719</v>
      </c>
      <c r="G122" s="167">
        <v>2017</v>
      </c>
      <c r="H122" s="166">
        <v>12</v>
      </c>
      <c r="I122" s="165">
        <v>16800</v>
      </c>
      <c r="J122" s="165">
        <v>0</v>
      </c>
      <c r="K122" s="165">
        <v>16800</v>
      </c>
      <c r="L122" s="165">
        <v>4990.0999999999995</v>
      </c>
      <c r="M122" s="165">
        <v>21790.100000000002</v>
      </c>
      <c r="N122" s="165">
        <v>21790.100000000002</v>
      </c>
      <c r="O122" s="165">
        <v>0</v>
      </c>
    </row>
    <row r="123" spans="1:15" x14ac:dyDescent="0.25">
      <c r="A123" s="170" t="s">
        <v>747</v>
      </c>
      <c r="B123" s="170" t="s">
        <v>746</v>
      </c>
      <c r="C123" s="169" t="s">
        <v>722</v>
      </c>
      <c r="D123" s="169" t="s">
        <v>748</v>
      </c>
      <c r="E123" s="169" t="s">
        <v>744</v>
      </c>
      <c r="F123" s="168" t="s">
        <v>719</v>
      </c>
      <c r="G123" s="167">
        <v>2017</v>
      </c>
      <c r="H123" s="166">
        <v>32</v>
      </c>
      <c r="I123" s="165">
        <v>78800</v>
      </c>
      <c r="J123" s="165">
        <v>0</v>
      </c>
      <c r="K123" s="165">
        <v>78800</v>
      </c>
      <c r="L123" s="165">
        <v>7440.8000000000011</v>
      </c>
      <c r="M123" s="165">
        <v>86240.800000000017</v>
      </c>
      <c r="N123" s="165">
        <v>71739.899999999994</v>
      </c>
      <c r="O123" s="165">
        <v>14500.9</v>
      </c>
    </row>
    <row r="124" spans="1:15" x14ac:dyDescent="0.25">
      <c r="A124" s="170" t="s">
        <v>747</v>
      </c>
      <c r="B124" s="170" t="s">
        <v>746</v>
      </c>
      <c r="C124" s="169" t="s">
        <v>722</v>
      </c>
      <c r="D124" s="169" t="s">
        <v>745</v>
      </c>
      <c r="E124" s="169" t="s">
        <v>744</v>
      </c>
      <c r="F124" s="168" t="s">
        <v>719</v>
      </c>
      <c r="G124" s="167">
        <v>2017</v>
      </c>
      <c r="H124" s="166">
        <v>22.5</v>
      </c>
      <c r="I124" s="165">
        <v>42929.600000000006</v>
      </c>
      <c r="J124" s="165">
        <v>0</v>
      </c>
      <c r="K124" s="165">
        <v>42929.600000000006</v>
      </c>
      <c r="L124" s="165">
        <v>10784.400000000001</v>
      </c>
      <c r="M124" s="165">
        <v>53714.000000000007</v>
      </c>
      <c r="N124" s="165">
        <v>50765.399999999994</v>
      </c>
      <c r="O124" s="165">
        <v>2948.5999999999995</v>
      </c>
    </row>
    <row r="125" spans="1:15" x14ac:dyDescent="0.25">
      <c r="A125" s="170" t="s">
        <v>743</v>
      </c>
      <c r="B125" s="170" t="s">
        <v>742</v>
      </c>
      <c r="C125" s="169" t="s">
        <v>722</v>
      </c>
      <c r="D125" s="169" t="s">
        <v>741</v>
      </c>
      <c r="E125" s="169" t="s">
        <v>239</v>
      </c>
      <c r="F125" s="168" t="s">
        <v>719</v>
      </c>
      <c r="G125" s="167">
        <v>2017</v>
      </c>
      <c r="H125" s="166">
        <v>94.8</v>
      </c>
      <c r="I125" s="165">
        <v>340331</v>
      </c>
      <c r="J125" s="165">
        <v>0</v>
      </c>
      <c r="K125" s="165">
        <v>340331</v>
      </c>
      <c r="L125" s="165">
        <v>528.84299999999996</v>
      </c>
      <c r="M125" s="165">
        <v>339802.15700000001</v>
      </c>
      <c r="N125" s="165">
        <v>2863.5711899999988</v>
      </c>
      <c r="O125" s="165">
        <v>336938.58580999996</v>
      </c>
    </row>
    <row r="126" spans="1:15" x14ac:dyDescent="0.25">
      <c r="A126" s="170" t="s">
        <v>740</v>
      </c>
      <c r="B126" s="170" t="s">
        <v>739</v>
      </c>
      <c r="C126" s="169" t="s">
        <v>722</v>
      </c>
      <c r="D126" s="169" t="s">
        <v>738</v>
      </c>
      <c r="E126" s="169" t="s">
        <v>128</v>
      </c>
      <c r="F126" s="168" t="s">
        <v>719</v>
      </c>
      <c r="G126" s="167">
        <v>2017</v>
      </c>
      <c r="H126" s="166">
        <v>5</v>
      </c>
      <c r="I126" s="165">
        <v>41145.648000000001</v>
      </c>
      <c r="J126" s="165">
        <v>0</v>
      </c>
      <c r="K126" s="165">
        <v>41145.648000000001</v>
      </c>
      <c r="L126" s="165">
        <v>2922.1311999999998</v>
      </c>
      <c r="M126" s="165">
        <v>0</v>
      </c>
      <c r="N126" s="165">
        <v>42919.327259999998</v>
      </c>
      <c r="O126" s="165">
        <v>1148.4519399999999</v>
      </c>
    </row>
    <row r="127" spans="1:15" x14ac:dyDescent="0.25">
      <c r="A127" s="170" t="s">
        <v>737</v>
      </c>
      <c r="B127" s="170" t="s">
        <v>736</v>
      </c>
      <c r="C127" s="169" t="s">
        <v>722</v>
      </c>
      <c r="D127" s="169" t="s">
        <v>735</v>
      </c>
      <c r="E127" s="169" t="s">
        <v>239</v>
      </c>
      <c r="F127" s="168" t="s">
        <v>719</v>
      </c>
      <c r="G127" s="167">
        <v>2017</v>
      </c>
      <c r="H127" s="166">
        <v>65.400000000000006</v>
      </c>
      <c r="I127" s="165">
        <v>184742.21</v>
      </c>
      <c r="J127" s="165">
        <v>0</v>
      </c>
      <c r="K127" s="165">
        <v>184742.21</v>
      </c>
      <c r="L127" s="165">
        <v>604.45499999999993</v>
      </c>
      <c r="M127" s="165">
        <v>184742.21</v>
      </c>
      <c r="N127" s="165">
        <v>72</v>
      </c>
      <c r="O127" s="165">
        <v>182409.54843522096</v>
      </c>
    </row>
    <row r="128" spans="1:15" x14ac:dyDescent="0.25">
      <c r="A128" s="170" t="s">
        <v>734</v>
      </c>
      <c r="B128" s="170" t="s">
        <v>733</v>
      </c>
      <c r="C128" s="169" t="s">
        <v>722</v>
      </c>
      <c r="D128" s="169" t="s">
        <v>732</v>
      </c>
      <c r="E128" s="169" t="s">
        <v>725</v>
      </c>
      <c r="F128" s="168" t="s">
        <v>719</v>
      </c>
      <c r="G128" s="167">
        <v>2017</v>
      </c>
      <c r="H128" s="166">
        <v>8.82</v>
      </c>
      <c r="I128" s="165">
        <v>19601.809999999998</v>
      </c>
      <c r="J128" s="165">
        <v>81.070000000000022</v>
      </c>
      <c r="K128" s="165">
        <v>19682.879999999997</v>
      </c>
      <c r="L128" s="165">
        <v>0</v>
      </c>
      <c r="M128" s="165">
        <v>19601.809999999998</v>
      </c>
      <c r="N128" s="165">
        <v>0</v>
      </c>
      <c r="O128" s="165">
        <v>19601.809999999998</v>
      </c>
    </row>
    <row r="129" spans="1:17" x14ac:dyDescent="0.25">
      <c r="A129" s="170" t="s">
        <v>731</v>
      </c>
      <c r="B129" s="170" t="s">
        <v>730</v>
      </c>
      <c r="C129" s="169" t="s">
        <v>722</v>
      </c>
      <c r="D129" s="169" t="s">
        <v>729</v>
      </c>
      <c r="E129" s="169" t="s">
        <v>239</v>
      </c>
      <c r="F129" s="168" t="s">
        <v>719</v>
      </c>
      <c r="G129" s="167">
        <v>2017</v>
      </c>
      <c r="H129" s="166">
        <v>23.4</v>
      </c>
      <c r="I129" s="165">
        <v>95641.610249999998</v>
      </c>
      <c r="J129" s="165">
        <v>0</v>
      </c>
      <c r="K129" s="165">
        <v>95641.610249999998</v>
      </c>
      <c r="L129" s="165">
        <v>103.21000000000001</v>
      </c>
      <c r="M129" s="165">
        <v>95538.400249999977</v>
      </c>
      <c r="N129" s="165">
        <v>0</v>
      </c>
      <c r="O129" s="165">
        <v>95538.400249999977</v>
      </c>
    </row>
    <row r="130" spans="1:17" x14ac:dyDescent="0.25">
      <c r="A130" s="170" t="s">
        <v>728</v>
      </c>
      <c r="B130" s="170" t="s">
        <v>727</v>
      </c>
      <c r="C130" s="169" t="s">
        <v>722</v>
      </c>
      <c r="D130" s="169" t="s">
        <v>726</v>
      </c>
      <c r="E130" s="169" t="s">
        <v>725</v>
      </c>
      <c r="F130" s="168" t="s">
        <v>719</v>
      </c>
      <c r="G130" s="167">
        <v>2017</v>
      </c>
      <c r="H130" s="166">
        <v>74</v>
      </c>
      <c r="I130" s="165">
        <v>206664.64517100001</v>
      </c>
      <c r="J130" s="165">
        <v>0</v>
      </c>
      <c r="K130" s="165">
        <v>206664.64517100001</v>
      </c>
      <c r="L130" s="165">
        <v>0</v>
      </c>
      <c r="M130" s="165">
        <v>206664.64517100001</v>
      </c>
      <c r="N130" s="165">
        <v>0</v>
      </c>
      <c r="O130" s="165">
        <v>206664.64517100001</v>
      </c>
    </row>
    <row r="131" spans="1:17" ht="15.75" thickBot="1" x14ac:dyDescent="0.3">
      <c r="A131" s="164" t="s">
        <v>724</v>
      </c>
      <c r="B131" s="164" t="s">
        <v>723</v>
      </c>
      <c r="C131" s="163" t="s">
        <v>722</v>
      </c>
      <c r="D131" s="163" t="s">
        <v>721</v>
      </c>
      <c r="E131" s="163" t="s">
        <v>720</v>
      </c>
      <c r="F131" s="162" t="s">
        <v>719</v>
      </c>
      <c r="G131" s="161">
        <v>2017</v>
      </c>
      <c r="H131" s="160">
        <v>100</v>
      </c>
      <c r="I131" s="159">
        <v>205620.72691409368</v>
      </c>
      <c r="J131" s="159">
        <v>22768.658161720305</v>
      </c>
      <c r="K131" s="159">
        <v>182852.06875237339</v>
      </c>
      <c r="L131" s="159">
        <v>2666.0811282309546</v>
      </c>
      <c r="M131" s="159">
        <v>205620.72691409368</v>
      </c>
      <c r="N131" s="159">
        <v>22768.658161720305</v>
      </c>
      <c r="O131" s="159">
        <v>182852.06875237339</v>
      </c>
    </row>
    <row r="133" spans="1:17" x14ac:dyDescent="0.25">
      <c r="H133" s="157" t="s">
        <v>718</v>
      </c>
    </row>
    <row r="134" spans="1:17" x14ac:dyDescent="0.25">
      <c r="H134" s="157" t="s">
        <v>717</v>
      </c>
      <c r="O134" s="325" t="s">
        <v>1768</v>
      </c>
      <c r="P134" s="325" t="s">
        <v>1769</v>
      </c>
      <c r="Q134" s="325" t="s">
        <v>1770</v>
      </c>
    </row>
    <row r="135" spans="1:17" x14ac:dyDescent="0.25">
      <c r="H135" s="158">
        <f>H27+H47+H48+H49+H50+H88+H91+H18+H171+H17+H11</f>
        <v>2476.6999999999998</v>
      </c>
      <c r="N135" s="325" t="s">
        <v>1766</v>
      </c>
      <c r="O135" s="326">
        <f>O27+O47+O48+O49+O50+O88+O91+O18+O171+O17+O11+O81</f>
        <v>182863.88152000002</v>
      </c>
      <c r="P135" s="326">
        <f>O135/0.3*3.6/1000</f>
        <v>2194.3665782400008</v>
      </c>
    </row>
    <row r="136" spans="1:17" x14ac:dyDescent="0.25">
      <c r="N136" s="325" t="s">
        <v>1767</v>
      </c>
      <c r="O136" s="326">
        <f>O27+O47+O48+O49+O50+O88+O91+O18+O171+O17+O11+O81+N108+N109</f>
        <v>2336941.2142070122</v>
      </c>
      <c r="P136" s="326">
        <f>O136/0.3*3.6/1000</f>
        <v>28043.294570484151</v>
      </c>
      <c r="Q136" s="326">
        <v>58058</v>
      </c>
    </row>
  </sheetData>
  <protectedRanges>
    <protectedRange sqref="I2:J2" name="Range3_7_1"/>
    <protectedRange password="CC9C" sqref="I2:J2" name="Range2_6_1"/>
    <protectedRange sqref="I3:J3" name="Range3_7_1_1"/>
    <protectedRange password="CC9C" sqref="I3:J3" name="Range2_6_1_1"/>
    <protectedRange sqref="I4:J4" name="Range3_7_1_2"/>
    <protectedRange password="CC9C" sqref="I4:J4" name="Range2_6_1_2"/>
    <protectedRange sqref="I5:J5" name="Range3_7_1_3"/>
    <protectedRange password="CC9C" sqref="I5:J5" name="Range2_6_1_3"/>
    <protectedRange sqref="I6:J6" name="Range3_7_1_4"/>
    <protectedRange password="CC9C" sqref="I6:J6" name="Range2_6_1_4"/>
    <protectedRange sqref="I7:J7" name="Range3_7_1_5"/>
    <protectedRange password="CC9C" sqref="I7:J7" name="Range2_6_1_5"/>
    <protectedRange sqref="I8:J8" name="Range3_7_1_6"/>
    <protectedRange password="CC9C" sqref="I8:J8" name="Range2_6_1_6"/>
    <protectedRange sqref="I9:J9" name="Range3_7_1_7"/>
    <protectedRange password="CC9C" sqref="I9:J9" name="Range2_6_1_7"/>
    <protectedRange sqref="I10:J10" name="Range3_7_1_8"/>
    <protectedRange password="CC9C" sqref="I10:J10" name="Range2_6_1_8"/>
    <protectedRange sqref="I11:J11" name="Range3_7_1_9"/>
    <protectedRange password="CC9C" sqref="I11:J11" name="Range2_6_1_9"/>
    <protectedRange sqref="I12:J12" name="Range3_7_1_10"/>
    <protectedRange password="CC9C" sqref="I12:J12" name="Range2_6_1_10"/>
    <protectedRange sqref="I13:J13" name="Range3_7_1_11"/>
    <protectedRange password="CC9C" sqref="I13:J13" name="Range2_6_1_11"/>
    <protectedRange sqref="I14:J14" name="Range3_7_1_12"/>
    <protectedRange password="CC9C" sqref="I14:J14" name="Range2_6_1_12"/>
    <protectedRange sqref="I15:J15" name="Range3_7_1_13"/>
    <protectedRange password="CC9C" sqref="I15:J15" name="Range2_6_1_13"/>
    <protectedRange sqref="I16:J16" name="Range3_7_1_14"/>
    <protectedRange password="CC9C" sqref="I16:J16" name="Range2_6_1_14"/>
    <protectedRange sqref="I17:J17" name="Range3_7_1_15"/>
    <protectedRange password="CC9C" sqref="I17:J17" name="Range2_6_1_15"/>
    <protectedRange sqref="I18:J18" name="Range3_7_1_16"/>
    <protectedRange password="CC9C" sqref="I18:J18" name="Range2_6_1_16"/>
    <protectedRange sqref="I19:J19" name="Range3_7_1_17"/>
    <protectedRange password="CC9C" sqref="I19:J19" name="Range2_6_1_17"/>
    <protectedRange sqref="I20:J20" name="Range3_7_1_18"/>
    <protectedRange password="CC9C" sqref="I20:J20" name="Range2_6_1_18"/>
    <protectedRange sqref="I21:J21" name="Range3_7_1_19"/>
    <protectedRange password="CC9C" sqref="I21:J21" name="Range2_6_1_19"/>
    <protectedRange sqref="I22:J22" name="Range3_7_1_20"/>
    <protectedRange password="CC9C" sqref="I22:J22" name="Range2_6_1_20"/>
    <protectedRange sqref="I23:J23" name="Range3_7_1_21"/>
    <protectedRange password="CC9C" sqref="I23:J23" name="Range2_6_1_21"/>
    <protectedRange sqref="I24:J24" name="Range3_7_1_22"/>
    <protectedRange password="CC9C" sqref="I24:J24" name="Range2_6_1_22"/>
    <protectedRange sqref="I25:J25" name="Range3_7_1_23"/>
    <protectedRange password="CC9C" sqref="I25:J25" name="Range2_6_1_23"/>
    <protectedRange sqref="I26:J26" name="Range3_7_1_24"/>
    <protectedRange password="CC9C" sqref="I26:J26" name="Range2_6_1_24"/>
    <protectedRange sqref="I27:J27" name="Range3_7_1_25"/>
    <protectedRange password="CC9C" sqref="I27:J27" name="Range2_6_1_25"/>
    <protectedRange sqref="I28:J28" name="Range3_7_1_26"/>
    <protectedRange password="CC9C" sqref="I28:J28" name="Range2_6_1_26"/>
    <protectedRange sqref="I29:J29" name="Range3_7_1_27"/>
    <protectedRange password="CC9C" sqref="I29:J29" name="Range2_6_1_27"/>
    <protectedRange sqref="I30:J30" name="Range3_7_1_28"/>
    <protectedRange password="CC9C" sqref="I30:J30" name="Range2_6_1_28"/>
    <protectedRange sqref="I31:J31" name="Range3_7_1_29"/>
    <protectedRange password="CC9C" sqref="I31:J31" name="Range2_6_1_29"/>
    <protectedRange sqref="I32:J32" name="Range3_7_1_30"/>
    <protectedRange password="CC9C" sqref="I32:J32" name="Range2_6_1_30"/>
    <protectedRange sqref="I33:J33" name="Range3_7_1_31"/>
    <protectedRange password="CC9C" sqref="I33:J33" name="Range2_6_1_31"/>
    <protectedRange sqref="I34:J34" name="Range3_7_1_32"/>
    <protectedRange password="CC9C" sqref="I34:J34" name="Range2_6_1_32"/>
    <protectedRange sqref="I35:J35" name="Range3_7_1_33"/>
    <protectedRange password="CC9C" sqref="I35:J35" name="Range2_6_1_33"/>
    <protectedRange sqref="I36:J36" name="Range3_7_1_34"/>
    <protectedRange password="CC9C" sqref="I36:J36" name="Range2_6_1_34"/>
    <protectedRange sqref="I37:J37" name="Range3_7_1_35"/>
    <protectedRange password="CC9C" sqref="I37:J37" name="Range2_6_1_35"/>
    <protectedRange sqref="I38:J38" name="Range3_7_1_36"/>
    <protectedRange password="CC9C" sqref="I38:J38" name="Range2_6_1_36"/>
    <protectedRange sqref="I39:J39" name="Range3_7_1_37"/>
    <protectedRange password="CC9C" sqref="I39:J39" name="Range2_6_1_37"/>
    <protectedRange sqref="I40:J40" name="Range3_7_1_38"/>
    <protectedRange password="CC9C" sqref="I40:J40" name="Range2_6_1_38"/>
    <protectedRange sqref="I41:J41" name="Range3_7_1_39"/>
    <protectedRange password="CC9C" sqref="I41:J41" name="Range2_6_1_39"/>
    <protectedRange sqref="I42:J42" name="Range3_7_1_40"/>
    <protectedRange password="CC9C" sqref="I42:J42" name="Range2_6_1_40"/>
    <protectedRange sqref="I43:J43" name="Range3_7_1_41"/>
    <protectedRange password="CC9C" sqref="I43:J43" name="Range2_6_1_41"/>
    <protectedRange sqref="I44:J44" name="Range3_7_1_42"/>
    <protectedRange password="CC9C" sqref="I44:J44" name="Range2_6_1_42"/>
    <protectedRange sqref="I45:J45" name="Range3_7_1_43"/>
    <protectedRange password="CC9C" sqref="I45:J45" name="Range2_6_1_43"/>
    <protectedRange sqref="I46:J46" name="Range3_7_1_44"/>
    <protectedRange password="CC9C" sqref="I46:J46" name="Range2_6_1_44"/>
    <protectedRange sqref="I47:J47" name="Range3_7_1_45"/>
    <protectedRange password="CC9C" sqref="I47:J47" name="Range2_6_1_45"/>
    <protectedRange sqref="I48:J48" name="Range3_7_1_46"/>
    <protectedRange password="CC9C" sqref="I48:J48" name="Range2_6_1_46"/>
    <protectedRange sqref="I49:J49" name="Range3_7_1_47"/>
    <protectedRange password="CC9C" sqref="I49:J49" name="Range2_6_1_47"/>
    <protectedRange sqref="I50:J50" name="Range3_7_1_48"/>
    <protectedRange password="CC9C" sqref="I50:J50" name="Range2_6_1_48"/>
    <protectedRange sqref="I51:J51" name="Range3_7_1_49"/>
    <protectedRange password="CC9C" sqref="I51:J51" name="Range2_6_1_49"/>
    <protectedRange sqref="I52:J52" name="Range3_7_1_50"/>
    <protectedRange password="CC9C" sqref="I52:J52" name="Range2_6_1_50"/>
    <protectedRange sqref="I53:J53" name="Range3_7_1_51"/>
    <protectedRange password="CC9C" sqref="I53:J53" name="Range2_6_1_51"/>
    <protectedRange sqref="I54:J54" name="Range3_7_1_52"/>
    <protectedRange password="CC9C" sqref="I54:J54" name="Range2_6_1_52"/>
    <protectedRange sqref="I55:J55" name="Range3_7_1_53"/>
    <protectedRange password="CC9C" sqref="I55:J55" name="Range2_6_1_53"/>
    <protectedRange sqref="I56:J56" name="Range3_7_1_54"/>
    <protectedRange password="CC9C" sqref="I56:J56" name="Range2_6_1_54"/>
    <protectedRange sqref="I57:J57" name="Range3_7_1_55"/>
    <protectedRange password="CC9C" sqref="I57:J57" name="Range2_6_1_55"/>
    <protectedRange sqref="I58:J58" name="Range3_7_1_56"/>
    <protectedRange password="CC9C" sqref="I58:J58" name="Range2_6_1_56"/>
    <protectedRange sqref="I59:J59" name="Range3_7_1_57"/>
    <protectedRange password="CC9C" sqref="I59:J59" name="Range2_6_1_57"/>
    <protectedRange sqref="I60:J60" name="Range3_7_1_58"/>
    <protectedRange password="CC9C" sqref="I60:J60" name="Range2_6_1_58"/>
    <protectedRange sqref="I61:J61" name="Range3_7_1_59"/>
    <protectedRange password="CC9C" sqref="I61:J61" name="Range2_6_1_59"/>
    <protectedRange sqref="I62:J62" name="Range3_7_1_60"/>
    <protectedRange password="CC9C" sqref="I62:J62" name="Range2_6_1_60"/>
    <protectedRange sqref="H62" name="Range3_1_19_1"/>
    <protectedRange password="CC9C" sqref="H62" name="Range2_1_19_1"/>
    <protectedRange sqref="I63:J63" name="Range3_7_1_61"/>
    <protectedRange password="CC9C" sqref="I63:J63" name="Range2_6_1_61"/>
    <protectedRange sqref="I64:J64" name="Range3_7_1_62"/>
    <protectedRange password="CC9C" sqref="I64:J64" name="Range2_6_1_62"/>
    <protectedRange sqref="I65:J65" name="Range3_7_1_63"/>
    <protectedRange password="CC9C" sqref="I65:J65" name="Range2_6_1_63"/>
    <protectedRange sqref="I66:J66" name="Range3_7_1_64"/>
    <protectedRange password="CC9C" sqref="I66:J66" name="Range2_6_1_64"/>
    <protectedRange sqref="I67:J67" name="Range3_7_1_65"/>
    <protectedRange password="CC9C" sqref="I67:J67" name="Range2_6_1_65"/>
    <protectedRange sqref="I68:J68" name="Range3_7_1_66"/>
    <protectedRange password="CC9C" sqref="I68:J68" name="Range2_6_1_66"/>
    <protectedRange sqref="I69:J69" name="Range3_7_1_67"/>
    <protectedRange password="CC9C" sqref="I69:J69" name="Range2_6_1_67"/>
    <protectedRange sqref="I70:J70" name="Range3_7_1_68"/>
    <protectedRange password="CC9C" sqref="I70:J70" name="Range2_6_1_68"/>
    <protectedRange sqref="I71:J71" name="Range3_7_1_69"/>
    <protectedRange password="CC9C" sqref="I71:J71" name="Range2_6_1_69"/>
    <protectedRange sqref="I72:J72" name="Range3_7_1_70"/>
    <protectedRange password="CC9C" sqref="I72:J72" name="Range2_6_1_70"/>
    <protectedRange sqref="I73:J73" name="Range3_7_1_71"/>
    <protectedRange password="CC9C" sqref="I73:J73" name="Range2_6_1_71"/>
    <protectedRange sqref="I74:J74" name="Range3_7_1_72"/>
    <protectedRange password="CC9C" sqref="I74:J74" name="Range2_6_1_72"/>
    <protectedRange sqref="I75:J75" name="Range3_7_1_73"/>
    <protectedRange password="CC9C" sqref="I75:J75" name="Range2_6_1_73"/>
    <protectedRange sqref="I76:J76" name="Range3_7_1_74"/>
    <protectedRange password="CC9C" sqref="I76:J76" name="Range2_6_1_74"/>
    <protectedRange sqref="I77:J77" name="Range3_7_1_75"/>
    <protectedRange password="CC9C" sqref="I77:J77" name="Range2_6_1_75"/>
    <protectedRange sqref="I78:J78" name="Range3_7_1_76"/>
    <protectedRange password="CC9C" sqref="I78:J78" name="Range2_6_1_76"/>
    <protectedRange sqref="I79:J79" name="Range3_7_1_77"/>
    <protectedRange password="CC9C" sqref="I79:J79" name="Range2_6_1_77"/>
    <protectedRange sqref="I80:J80" name="Range3_7_1_78"/>
    <protectedRange password="CC9C" sqref="I80:J80" name="Range2_6_1_78"/>
    <protectedRange sqref="I81:J81" name="Range3_7_1_79"/>
    <protectedRange password="CC9C" sqref="I81:J81" name="Range2_6_1_79"/>
    <protectedRange sqref="I82:J82" name="Range3_7_1_80"/>
    <protectedRange password="CC9C" sqref="I82:J82" name="Range2_6_1_80"/>
    <protectedRange sqref="I83:J83" name="Range3_7_1_81"/>
    <protectedRange password="CC9C" sqref="I83:J83" name="Range2_6_1_81"/>
    <protectedRange sqref="I84:J84" name="Range3_7_1_82"/>
    <protectedRange password="CC9C" sqref="I84:J84" name="Range2_6_1_82"/>
    <protectedRange sqref="I85:J85" name="Range3_7_1_83"/>
    <protectedRange password="CC9C" sqref="I85:J85" name="Range2_6_1_83"/>
    <protectedRange sqref="I86:J86" name="Range3_7_1_84"/>
    <protectedRange password="CC9C" sqref="I86:J86" name="Range2_6_1_84"/>
    <protectedRange sqref="I87:J87" name="Range3_7_1_85"/>
    <protectedRange password="CC9C" sqref="I87:J87" name="Range2_6_1_85"/>
    <protectedRange sqref="I88:J88" name="Range3_7_1_86"/>
    <protectedRange password="CC9C" sqref="I88:J88" name="Range2_6_1_86"/>
    <protectedRange sqref="I89:J89" name="Range3_7_1_87"/>
    <protectedRange password="CC9C" sqref="I89:J89" name="Range2_6_1_87"/>
    <protectedRange sqref="I90:J90" name="Range3_7_1_88"/>
    <protectedRange password="CC9C" sqref="I90:J90" name="Range2_6_1_88"/>
    <protectedRange sqref="I91:J91" name="Range3_7_1_89"/>
    <protectedRange password="CC9C" sqref="I91:J91" name="Range2_6_1_89"/>
    <protectedRange sqref="I92:J92" name="Range3_7_1_90"/>
    <protectedRange password="CC9C" sqref="I92:J92" name="Range2_6_1_90"/>
    <protectedRange sqref="I93:J93" name="Range3_7_1_91"/>
    <protectedRange password="CC9C" sqref="I93:J93" name="Range2_6_1_91"/>
    <protectedRange sqref="I94:J94" name="Range3_7_1_92"/>
    <protectedRange password="CC9C" sqref="I94:J94" name="Range2_6_1_92"/>
    <protectedRange sqref="I95:J95" name="Range3_7_1_93"/>
    <protectedRange password="CC9C" sqref="I95:J95" name="Range2_6_1_93"/>
    <protectedRange sqref="I96:J96" name="Range3_7_1_94"/>
    <protectedRange password="CC9C" sqref="I96:J96" name="Range2_6_1_94"/>
  </protectedRanges>
  <autoFilter ref="A1:O131" xr:uid="{CA56D0AF-6608-4CBC-85E4-DC4CBF8348C0}"/>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B52C-79C0-4DE3-839E-9FBDEBC79E1E}">
  <sheetPr codeName="Sheet32">
    <outlinePr summaryBelow="0" summaryRight="0"/>
  </sheetPr>
  <dimension ref="A1:Q154"/>
  <sheetViews>
    <sheetView workbookViewId="0"/>
  </sheetViews>
  <sheetFormatPr defaultColWidth="14.42578125" defaultRowHeight="15" customHeight="1" x14ac:dyDescent="0.2"/>
  <cols>
    <col min="1" max="3" width="14.42578125" style="182"/>
    <col min="4" max="4" width="23" style="182" customWidth="1"/>
    <col min="5" max="16384" width="14.42578125" style="182"/>
  </cols>
  <sheetData>
    <row r="1" spans="1:16" ht="15" customHeight="1" x14ac:dyDescent="0.2">
      <c r="A1" s="205" t="s">
        <v>1022</v>
      </c>
      <c r="B1" s="202" t="s">
        <v>1021</v>
      </c>
      <c r="C1" s="202" t="s">
        <v>1020</v>
      </c>
      <c r="D1" s="202" t="s">
        <v>1019</v>
      </c>
      <c r="E1" s="202" t="s">
        <v>1018</v>
      </c>
      <c r="F1" s="204" t="s">
        <v>1085</v>
      </c>
      <c r="G1" s="203" t="s">
        <v>134</v>
      </c>
      <c r="H1" s="202" t="s">
        <v>1017</v>
      </c>
      <c r="I1" s="202" t="s">
        <v>1084</v>
      </c>
      <c r="J1" s="202" t="s">
        <v>1083</v>
      </c>
      <c r="K1" s="202" t="s">
        <v>1082</v>
      </c>
      <c r="L1" s="202" t="s">
        <v>1081</v>
      </c>
      <c r="M1" s="202" t="s">
        <v>1012</v>
      </c>
      <c r="N1" s="202" t="s">
        <v>1011</v>
      </c>
      <c r="O1" s="202" t="s">
        <v>1080</v>
      </c>
      <c r="P1" s="202" t="s">
        <v>1009</v>
      </c>
    </row>
    <row r="2" spans="1:16" ht="15" customHeight="1" x14ac:dyDescent="0.2">
      <c r="A2" s="201" t="s">
        <v>915</v>
      </c>
      <c r="B2" s="200" t="s">
        <v>485</v>
      </c>
      <c r="C2" s="200" t="s">
        <v>914</v>
      </c>
      <c r="D2" s="200" t="s">
        <v>416</v>
      </c>
      <c r="E2" s="200" t="s">
        <v>140</v>
      </c>
      <c r="F2" s="191" t="s">
        <v>1048</v>
      </c>
      <c r="G2" s="191" t="s">
        <v>1036</v>
      </c>
      <c r="H2" s="198">
        <v>2018</v>
      </c>
      <c r="I2" s="197">
        <v>1980</v>
      </c>
      <c r="J2" s="197">
        <v>11778390.859999999</v>
      </c>
      <c r="K2" s="197">
        <v>915105.89</v>
      </c>
      <c r="L2" s="197">
        <v>10863284.970000001</v>
      </c>
      <c r="M2" s="198">
        <v>0</v>
      </c>
      <c r="N2" s="197">
        <v>10863284.970000001</v>
      </c>
      <c r="O2" s="198">
        <v>0</v>
      </c>
      <c r="P2" s="197">
        <v>10863284.970000001</v>
      </c>
    </row>
    <row r="3" spans="1:16" ht="15" customHeight="1" x14ac:dyDescent="0.2">
      <c r="A3" s="201" t="s">
        <v>915</v>
      </c>
      <c r="B3" s="200" t="s">
        <v>485</v>
      </c>
      <c r="C3" s="200" t="s">
        <v>914</v>
      </c>
      <c r="D3" s="200" t="s">
        <v>470</v>
      </c>
      <c r="E3" s="200" t="s">
        <v>140</v>
      </c>
      <c r="F3" s="191" t="s">
        <v>1048</v>
      </c>
      <c r="G3" s="191" t="s">
        <v>1036</v>
      </c>
      <c r="H3" s="198">
        <v>2018</v>
      </c>
      <c r="I3" s="197">
        <v>1520</v>
      </c>
      <c r="J3" s="197">
        <v>8127675.9699999997</v>
      </c>
      <c r="K3" s="197">
        <v>640966.31999999995</v>
      </c>
      <c r="L3" s="197">
        <v>7486709.6500000004</v>
      </c>
      <c r="M3" s="198">
        <v>0</v>
      </c>
      <c r="N3" s="197">
        <v>7486709.6500000004</v>
      </c>
      <c r="O3" s="198">
        <v>0</v>
      </c>
      <c r="P3" s="197">
        <v>7486709.6500000004</v>
      </c>
    </row>
    <row r="4" spans="1:16" ht="15" customHeight="1" x14ac:dyDescent="0.2">
      <c r="A4" s="201" t="s">
        <v>915</v>
      </c>
      <c r="B4" s="200" t="s">
        <v>485</v>
      </c>
      <c r="C4" s="200" t="s">
        <v>914</v>
      </c>
      <c r="D4" s="200" t="s">
        <v>466</v>
      </c>
      <c r="E4" s="200" t="s">
        <v>140</v>
      </c>
      <c r="F4" s="191" t="s">
        <v>1048</v>
      </c>
      <c r="G4" s="191" t="s">
        <v>1036</v>
      </c>
      <c r="H4" s="198">
        <v>2018</v>
      </c>
      <c r="I4" s="197">
        <v>3450</v>
      </c>
      <c r="J4" s="197">
        <v>11698000.35</v>
      </c>
      <c r="K4" s="197">
        <v>1086090.8400000001</v>
      </c>
      <c r="L4" s="197">
        <v>10611909.51</v>
      </c>
      <c r="M4" s="198">
        <v>0</v>
      </c>
      <c r="N4" s="197">
        <v>10611909.51</v>
      </c>
      <c r="O4" s="198">
        <v>0</v>
      </c>
      <c r="P4" s="197">
        <v>10611909.51</v>
      </c>
    </row>
    <row r="5" spans="1:16" ht="15" customHeight="1" x14ac:dyDescent="0.2">
      <c r="A5" s="201" t="s">
        <v>915</v>
      </c>
      <c r="B5" s="200" t="s">
        <v>485</v>
      </c>
      <c r="C5" s="200" t="s">
        <v>914</v>
      </c>
      <c r="D5" s="200" t="s">
        <v>405</v>
      </c>
      <c r="E5" s="200" t="s">
        <v>140</v>
      </c>
      <c r="F5" s="191" t="s">
        <v>1048</v>
      </c>
      <c r="G5" s="191" t="s">
        <v>1036</v>
      </c>
      <c r="H5" s="198">
        <v>2018</v>
      </c>
      <c r="I5" s="197">
        <v>1130</v>
      </c>
      <c r="J5" s="197">
        <v>2644796.23</v>
      </c>
      <c r="K5" s="197">
        <v>237762.33</v>
      </c>
      <c r="L5" s="197">
        <v>2407033.9</v>
      </c>
      <c r="M5" s="198">
        <v>0</v>
      </c>
      <c r="N5" s="197">
        <v>2407033.9</v>
      </c>
      <c r="O5" s="198">
        <v>0</v>
      </c>
      <c r="P5" s="197">
        <v>2407033.9</v>
      </c>
    </row>
    <row r="6" spans="1:16" ht="15" customHeight="1" x14ac:dyDescent="0.2">
      <c r="A6" s="201" t="s">
        <v>915</v>
      </c>
      <c r="B6" s="200" t="s">
        <v>485</v>
      </c>
      <c r="C6" s="200" t="s">
        <v>914</v>
      </c>
      <c r="D6" s="200" t="s">
        <v>409</v>
      </c>
      <c r="E6" s="200" t="s">
        <v>140</v>
      </c>
      <c r="F6" s="191" t="s">
        <v>1048</v>
      </c>
      <c r="G6" s="191" t="s">
        <v>1036</v>
      </c>
      <c r="H6" s="198">
        <v>2018</v>
      </c>
      <c r="I6" s="197">
        <v>1900</v>
      </c>
      <c r="J6" s="197">
        <v>8601265.8000000007</v>
      </c>
      <c r="K6" s="197">
        <v>616233.37</v>
      </c>
      <c r="L6" s="197">
        <v>7985032.4299999997</v>
      </c>
      <c r="M6" s="198">
        <v>0</v>
      </c>
      <c r="N6" s="197">
        <v>7985032.4299999997</v>
      </c>
      <c r="O6" s="198">
        <v>0</v>
      </c>
      <c r="P6" s="197">
        <v>7985032.4299999997</v>
      </c>
    </row>
    <row r="7" spans="1:16" ht="15" customHeight="1" x14ac:dyDescent="0.2">
      <c r="A7" s="201" t="s">
        <v>915</v>
      </c>
      <c r="B7" s="200" t="s">
        <v>485</v>
      </c>
      <c r="C7" s="200" t="s">
        <v>914</v>
      </c>
      <c r="D7" s="200" t="s">
        <v>455</v>
      </c>
      <c r="E7" s="200" t="s">
        <v>140</v>
      </c>
      <c r="F7" s="191" t="s">
        <v>1048</v>
      </c>
      <c r="G7" s="191" t="s">
        <v>1036</v>
      </c>
      <c r="H7" s="198">
        <v>2018</v>
      </c>
      <c r="I7" s="197">
        <v>3840</v>
      </c>
      <c r="J7" s="197">
        <v>24612913.059999999</v>
      </c>
      <c r="K7" s="197">
        <v>1918505.09</v>
      </c>
      <c r="L7" s="197">
        <v>22694407.969999999</v>
      </c>
      <c r="M7" s="198">
        <v>0</v>
      </c>
      <c r="N7" s="197">
        <v>22694407.969999999</v>
      </c>
      <c r="O7" s="198">
        <v>0</v>
      </c>
      <c r="P7" s="197">
        <v>22694407.969999999</v>
      </c>
    </row>
    <row r="8" spans="1:16" ht="15" customHeight="1" x14ac:dyDescent="0.2">
      <c r="A8" s="201" t="s">
        <v>915</v>
      </c>
      <c r="B8" s="200" t="s">
        <v>485</v>
      </c>
      <c r="C8" s="200" t="s">
        <v>914</v>
      </c>
      <c r="D8" s="200" t="s">
        <v>406</v>
      </c>
      <c r="E8" s="200" t="s">
        <v>140</v>
      </c>
      <c r="F8" s="191" t="s">
        <v>1048</v>
      </c>
      <c r="G8" s="191" t="s">
        <v>1036</v>
      </c>
      <c r="H8" s="198">
        <v>2018</v>
      </c>
      <c r="I8" s="197">
        <v>1000</v>
      </c>
      <c r="J8" s="197">
        <v>2318905.87</v>
      </c>
      <c r="K8" s="197">
        <v>165328.51</v>
      </c>
      <c r="L8" s="197">
        <v>2153577.36</v>
      </c>
      <c r="M8" s="198">
        <v>0</v>
      </c>
      <c r="N8" s="197">
        <v>2153577.36</v>
      </c>
      <c r="O8" s="198">
        <v>0</v>
      </c>
      <c r="P8" s="197">
        <v>2153577.36</v>
      </c>
    </row>
    <row r="9" spans="1:16" ht="15" customHeight="1" x14ac:dyDescent="0.2">
      <c r="A9" s="201" t="s">
        <v>915</v>
      </c>
      <c r="B9" s="200" t="s">
        <v>485</v>
      </c>
      <c r="C9" s="200" t="s">
        <v>914</v>
      </c>
      <c r="D9" s="200" t="s">
        <v>410</v>
      </c>
      <c r="E9" s="200" t="s">
        <v>140</v>
      </c>
      <c r="F9" s="191" t="s">
        <v>1048</v>
      </c>
      <c r="G9" s="191" t="s">
        <v>1036</v>
      </c>
      <c r="H9" s="198">
        <v>2018</v>
      </c>
      <c r="I9" s="197">
        <v>2850</v>
      </c>
      <c r="J9" s="197">
        <v>13465249.300000001</v>
      </c>
      <c r="K9" s="197">
        <v>870173.16</v>
      </c>
      <c r="L9" s="197">
        <v>12595076.140000001</v>
      </c>
      <c r="M9" s="198">
        <v>0</v>
      </c>
      <c r="N9" s="197">
        <v>12595076.140000001</v>
      </c>
      <c r="O9" s="198">
        <v>0</v>
      </c>
      <c r="P9" s="197">
        <v>12595076.140000001</v>
      </c>
    </row>
    <row r="10" spans="1:16" ht="15" customHeight="1" x14ac:dyDescent="0.2">
      <c r="A10" s="201" t="s">
        <v>915</v>
      </c>
      <c r="B10" s="200" t="s">
        <v>485</v>
      </c>
      <c r="C10" s="200" t="s">
        <v>914</v>
      </c>
      <c r="D10" s="200" t="s">
        <v>441</v>
      </c>
      <c r="E10" s="200" t="s">
        <v>140</v>
      </c>
      <c r="F10" s="191" t="s">
        <v>1049</v>
      </c>
      <c r="G10" s="191" t="s">
        <v>1036</v>
      </c>
      <c r="H10" s="198">
        <v>2018</v>
      </c>
      <c r="I10" s="197">
        <v>3558</v>
      </c>
      <c r="J10" s="197">
        <v>20827205.899999999</v>
      </c>
      <c r="K10" s="197">
        <v>1172157.79</v>
      </c>
      <c r="L10" s="197">
        <v>19655048.109999999</v>
      </c>
      <c r="M10" s="198">
        <v>0</v>
      </c>
      <c r="N10" s="197">
        <v>19655048.109999999</v>
      </c>
      <c r="O10" s="198">
        <v>0</v>
      </c>
      <c r="P10" s="197">
        <v>19655048.109999999</v>
      </c>
    </row>
    <row r="11" spans="1:16" ht="15" customHeight="1" x14ac:dyDescent="0.2">
      <c r="A11" s="201" t="s">
        <v>915</v>
      </c>
      <c r="B11" s="200" t="s">
        <v>485</v>
      </c>
      <c r="C11" s="200" t="s">
        <v>914</v>
      </c>
      <c r="D11" s="200" t="s">
        <v>407</v>
      </c>
      <c r="E11" s="200" t="s">
        <v>140</v>
      </c>
      <c r="F11" s="191" t="s">
        <v>1048</v>
      </c>
      <c r="G11" s="191" t="s">
        <v>1036</v>
      </c>
      <c r="H11" s="198">
        <v>2018</v>
      </c>
      <c r="I11" s="197">
        <v>3843</v>
      </c>
      <c r="J11" s="197">
        <v>26301014.129999999</v>
      </c>
      <c r="K11" s="197">
        <v>1909230.08</v>
      </c>
      <c r="L11" s="197">
        <v>24391784.050000001</v>
      </c>
      <c r="M11" s="198">
        <v>0</v>
      </c>
      <c r="N11" s="197">
        <v>24391784.050000001</v>
      </c>
      <c r="O11" s="198">
        <v>0</v>
      </c>
      <c r="P11" s="197">
        <v>24391784.050000001</v>
      </c>
    </row>
    <row r="12" spans="1:16" ht="15" customHeight="1" x14ac:dyDescent="0.2">
      <c r="A12" s="201" t="s">
        <v>915</v>
      </c>
      <c r="B12" s="200" t="s">
        <v>485</v>
      </c>
      <c r="C12" s="200" t="s">
        <v>914</v>
      </c>
      <c r="D12" s="200" t="s">
        <v>434</v>
      </c>
      <c r="E12" s="200" t="s">
        <v>140</v>
      </c>
      <c r="F12" s="191" t="s">
        <v>1047</v>
      </c>
      <c r="G12" s="191" t="s">
        <v>1036</v>
      </c>
      <c r="H12" s="198">
        <v>2018</v>
      </c>
      <c r="I12" s="197">
        <v>3690</v>
      </c>
      <c r="J12" s="197">
        <v>29602780.120000001</v>
      </c>
      <c r="K12" s="197">
        <v>2586669.4</v>
      </c>
      <c r="L12" s="197">
        <v>27016110.719999999</v>
      </c>
      <c r="M12" s="198">
        <v>0</v>
      </c>
      <c r="N12" s="197">
        <v>27016110.719999999</v>
      </c>
      <c r="O12" s="198">
        <v>0</v>
      </c>
      <c r="P12" s="197">
        <v>27016110.719999999</v>
      </c>
    </row>
    <row r="13" spans="1:16" ht="15" customHeight="1" x14ac:dyDescent="0.2">
      <c r="A13" s="201" t="s">
        <v>915</v>
      </c>
      <c r="B13" s="200" t="s">
        <v>485</v>
      </c>
      <c r="C13" s="200" t="s">
        <v>914</v>
      </c>
      <c r="D13" s="200" t="s">
        <v>413</v>
      </c>
      <c r="E13" s="200" t="s">
        <v>140</v>
      </c>
      <c r="F13" s="191" t="s">
        <v>1048</v>
      </c>
      <c r="G13" s="191" t="s">
        <v>1036</v>
      </c>
      <c r="H13" s="198">
        <v>2018</v>
      </c>
      <c r="I13" s="197">
        <v>3450</v>
      </c>
      <c r="J13" s="197">
        <v>20761579.800000001</v>
      </c>
      <c r="K13" s="197">
        <v>1218096.32</v>
      </c>
      <c r="L13" s="197">
        <v>19543483.48</v>
      </c>
      <c r="M13" s="198">
        <v>0</v>
      </c>
      <c r="N13" s="197">
        <v>19543483.48</v>
      </c>
      <c r="O13" s="198">
        <v>0</v>
      </c>
      <c r="P13" s="197">
        <v>19543483.48</v>
      </c>
    </row>
    <row r="14" spans="1:16" ht="15" customHeight="1" x14ac:dyDescent="0.2">
      <c r="A14" s="201" t="s">
        <v>915</v>
      </c>
      <c r="B14" s="200" t="s">
        <v>485</v>
      </c>
      <c r="C14" s="200" t="s">
        <v>914</v>
      </c>
      <c r="D14" s="200" t="s">
        <v>418</v>
      </c>
      <c r="E14" s="200" t="s">
        <v>140</v>
      </c>
      <c r="F14" s="191" t="s">
        <v>1048</v>
      </c>
      <c r="G14" s="191" t="s">
        <v>1036</v>
      </c>
      <c r="H14" s="198">
        <v>2018</v>
      </c>
      <c r="I14" s="197">
        <v>3510</v>
      </c>
      <c r="J14" s="197">
        <v>17465880.77</v>
      </c>
      <c r="K14" s="197">
        <v>1226462.5900000001</v>
      </c>
      <c r="L14" s="197">
        <v>16239418.18</v>
      </c>
      <c r="M14" s="198">
        <v>0</v>
      </c>
      <c r="N14" s="197">
        <v>16239418.18</v>
      </c>
      <c r="O14" s="198">
        <v>0</v>
      </c>
      <c r="P14" s="197">
        <v>16239418.18</v>
      </c>
    </row>
    <row r="15" spans="1:16" ht="15" customHeight="1" x14ac:dyDescent="0.2">
      <c r="A15" s="201" t="s">
        <v>915</v>
      </c>
      <c r="B15" s="200" t="s">
        <v>485</v>
      </c>
      <c r="C15" s="200" t="s">
        <v>914</v>
      </c>
      <c r="D15" s="200" t="s">
        <v>537</v>
      </c>
      <c r="E15" s="200" t="s">
        <v>785</v>
      </c>
      <c r="F15" s="191" t="s">
        <v>1040</v>
      </c>
      <c r="G15" s="191" t="s">
        <v>1036</v>
      </c>
      <c r="H15" s="198">
        <v>2018</v>
      </c>
      <c r="I15" s="198">
        <v>171</v>
      </c>
      <c r="J15" s="197">
        <v>1258</v>
      </c>
      <c r="K15" s="198">
        <v>0</v>
      </c>
      <c r="L15" s="197">
        <v>1258</v>
      </c>
      <c r="M15" s="198">
        <v>0</v>
      </c>
      <c r="N15" s="197">
        <v>1258</v>
      </c>
      <c r="O15" s="198">
        <v>0</v>
      </c>
      <c r="P15" s="197">
        <v>1258</v>
      </c>
    </row>
    <row r="16" spans="1:16" ht="15" customHeight="1" x14ac:dyDescent="0.2">
      <c r="A16" s="201" t="s">
        <v>915</v>
      </c>
      <c r="B16" s="200" t="s">
        <v>485</v>
      </c>
      <c r="C16" s="200" t="s">
        <v>914</v>
      </c>
      <c r="D16" s="200" t="s">
        <v>535</v>
      </c>
      <c r="E16" s="200" t="s">
        <v>785</v>
      </c>
      <c r="F16" s="191" t="s">
        <v>1040</v>
      </c>
      <c r="G16" s="191" t="s">
        <v>1036</v>
      </c>
      <c r="H16" s="198">
        <v>2018</v>
      </c>
      <c r="I16" s="198">
        <v>588</v>
      </c>
      <c r="J16" s="197">
        <v>340236.39</v>
      </c>
      <c r="K16" s="197">
        <v>1622.2</v>
      </c>
      <c r="L16" s="197">
        <v>338614.19</v>
      </c>
      <c r="M16" s="198">
        <v>0</v>
      </c>
      <c r="N16" s="197">
        <v>338614.19</v>
      </c>
      <c r="O16" s="198">
        <v>0</v>
      </c>
      <c r="P16" s="197">
        <v>338614.19</v>
      </c>
    </row>
    <row r="17" spans="1:17" ht="15" customHeight="1" x14ac:dyDescent="0.2">
      <c r="A17" s="201" t="s">
        <v>915</v>
      </c>
      <c r="B17" s="200" t="s">
        <v>485</v>
      </c>
      <c r="C17" s="200" t="s">
        <v>914</v>
      </c>
      <c r="D17" s="200" t="s">
        <v>533</v>
      </c>
      <c r="E17" s="200" t="s">
        <v>785</v>
      </c>
      <c r="F17" s="191" t="s">
        <v>1040</v>
      </c>
      <c r="G17" s="191" t="s">
        <v>1036</v>
      </c>
      <c r="H17" s="198">
        <v>2018</v>
      </c>
      <c r="I17" s="198">
        <v>438</v>
      </c>
      <c r="J17" s="197">
        <v>173101.81</v>
      </c>
      <c r="K17" s="197">
        <v>1141.8</v>
      </c>
      <c r="L17" s="197">
        <v>171960.01</v>
      </c>
      <c r="M17" s="198">
        <v>0</v>
      </c>
      <c r="N17" s="197">
        <v>171960.01</v>
      </c>
      <c r="O17" s="198">
        <v>0</v>
      </c>
      <c r="P17" s="197">
        <v>171960.01</v>
      </c>
    </row>
    <row r="18" spans="1:17" ht="15" customHeight="1" x14ac:dyDescent="0.2">
      <c r="A18" s="201" t="s">
        <v>915</v>
      </c>
      <c r="B18" s="200" t="s">
        <v>485</v>
      </c>
      <c r="C18" s="200" t="s">
        <v>914</v>
      </c>
      <c r="D18" s="200" t="s">
        <v>531</v>
      </c>
      <c r="E18" s="200" t="s">
        <v>785</v>
      </c>
      <c r="F18" s="191" t="s">
        <v>1038</v>
      </c>
      <c r="G18" s="191" t="s">
        <v>1036</v>
      </c>
      <c r="H18" s="198">
        <v>2018</v>
      </c>
      <c r="I18" s="198">
        <v>171</v>
      </c>
      <c r="J18" s="197">
        <v>1189</v>
      </c>
      <c r="K18" s="198">
        <v>-3</v>
      </c>
      <c r="L18" s="197">
        <v>1192</v>
      </c>
      <c r="M18" s="198">
        <v>0</v>
      </c>
      <c r="N18" s="197">
        <v>1192</v>
      </c>
      <c r="O18" s="198">
        <v>0</v>
      </c>
      <c r="P18" s="197">
        <v>1192</v>
      </c>
    </row>
    <row r="19" spans="1:17" ht="15" customHeight="1" x14ac:dyDescent="0.2">
      <c r="A19" s="201" t="s">
        <v>915</v>
      </c>
      <c r="B19" s="200" t="s">
        <v>485</v>
      </c>
      <c r="C19" s="200" t="s">
        <v>914</v>
      </c>
      <c r="D19" s="200" t="s">
        <v>527</v>
      </c>
      <c r="E19" s="200" t="s">
        <v>754</v>
      </c>
      <c r="F19" s="191" t="s">
        <v>1079</v>
      </c>
      <c r="G19" s="191" t="s">
        <v>1036</v>
      </c>
      <c r="H19" s="198">
        <v>2018</v>
      </c>
      <c r="I19" s="198">
        <v>360</v>
      </c>
      <c r="J19" s="197">
        <v>529767</v>
      </c>
      <c r="K19" s="198">
        <v>650.86</v>
      </c>
      <c r="L19" s="197">
        <v>529116.14</v>
      </c>
      <c r="M19" s="198">
        <v>0</v>
      </c>
      <c r="N19" s="197">
        <v>529116.14</v>
      </c>
      <c r="O19" s="198">
        <v>0</v>
      </c>
      <c r="P19" s="197">
        <v>529116.14</v>
      </c>
    </row>
    <row r="20" spans="1:17" ht="15" customHeight="1" x14ac:dyDescent="0.2">
      <c r="A20" s="201" t="s">
        <v>915</v>
      </c>
      <c r="B20" s="200" t="s">
        <v>485</v>
      </c>
      <c r="C20" s="200" t="s">
        <v>914</v>
      </c>
      <c r="D20" s="200" t="s">
        <v>921</v>
      </c>
      <c r="E20" s="200" t="s">
        <v>754</v>
      </c>
      <c r="F20" s="191" t="s">
        <v>1037</v>
      </c>
      <c r="G20" s="191" t="s">
        <v>1036</v>
      </c>
      <c r="H20" s="198">
        <v>2018</v>
      </c>
      <c r="I20" s="198">
        <v>240</v>
      </c>
      <c r="J20" s="197">
        <v>550949</v>
      </c>
      <c r="K20" s="197">
        <v>5376.91</v>
      </c>
      <c r="L20" s="197">
        <v>545572.09</v>
      </c>
      <c r="M20" s="198">
        <v>0</v>
      </c>
      <c r="N20" s="197">
        <v>545572.09</v>
      </c>
      <c r="O20" s="198">
        <v>0</v>
      </c>
      <c r="P20" s="197">
        <v>545572.09</v>
      </c>
    </row>
    <row r="21" spans="1:17" ht="15" customHeight="1" x14ac:dyDescent="0.2">
      <c r="A21" s="201" t="s">
        <v>915</v>
      </c>
      <c r="B21" s="200" t="s">
        <v>485</v>
      </c>
      <c r="C21" s="200" t="s">
        <v>914</v>
      </c>
      <c r="D21" s="200" t="s">
        <v>539</v>
      </c>
      <c r="E21" s="200" t="s">
        <v>920</v>
      </c>
      <c r="F21" s="191" t="s">
        <v>1040</v>
      </c>
      <c r="G21" s="191" t="s">
        <v>1036</v>
      </c>
      <c r="H21" s="198">
        <v>2018</v>
      </c>
      <c r="I21" s="197">
        <v>1870</v>
      </c>
      <c r="J21" s="197">
        <v>11090472</v>
      </c>
      <c r="K21" s="197">
        <v>529100</v>
      </c>
      <c r="L21" s="197">
        <v>10561372</v>
      </c>
      <c r="M21" s="198">
        <v>0</v>
      </c>
      <c r="N21" s="197">
        <v>10561372</v>
      </c>
      <c r="O21" s="198">
        <v>0</v>
      </c>
      <c r="P21" s="197">
        <v>10561372</v>
      </c>
    </row>
    <row r="22" spans="1:17" ht="15" customHeight="1" x14ac:dyDescent="0.2">
      <c r="A22" s="201" t="s">
        <v>915</v>
      </c>
      <c r="B22" s="200" t="s">
        <v>485</v>
      </c>
      <c r="C22" s="200" t="s">
        <v>914</v>
      </c>
      <c r="D22" s="200" t="s">
        <v>521</v>
      </c>
      <c r="E22" s="200" t="s">
        <v>916</v>
      </c>
      <c r="F22" s="191" t="s">
        <v>1042</v>
      </c>
      <c r="G22" s="191" t="s">
        <v>1036</v>
      </c>
      <c r="H22" s="198">
        <v>2018</v>
      </c>
      <c r="I22" s="197">
        <v>1000</v>
      </c>
      <c r="J22" s="197">
        <v>1154748</v>
      </c>
      <c r="K22" s="197">
        <v>1373.95</v>
      </c>
      <c r="L22" s="197">
        <v>1153374.05</v>
      </c>
      <c r="M22" s="197">
        <v>1613750.4</v>
      </c>
      <c r="N22" s="197">
        <v>-460376.35</v>
      </c>
      <c r="O22" s="198">
        <v>0</v>
      </c>
      <c r="P22" s="197">
        <v>-460376.35</v>
      </c>
    </row>
    <row r="23" spans="1:17" ht="15" customHeight="1" x14ac:dyDescent="0.2">
      <c r="A23" s="201" t="s">
        <v>915</v>
      </c>
      <c r="B23" s="200" t="s">
        <v>485</v>
      </c>
      <c r="C23" s="200" t="s">
        <v>914</v>
      </c>
      <c r="D23" s="200" t="s">
        <v>519</v>
      </c>
      <c r="E23" s="200" t="s">
        <v>916</v>
      </c>
      <c r="F23" s="191" t="s">
        <v>1040</v>
      </c>
      <c r="G23" s="191" t="s">
        <v>1036</v>
      </c>
      <c r="H23" s="198">
        <v>2018</v>
      </c>
      <c r="I23" s="198">
        <v>400</v>
      </c>
      <c r="J23" s="197">
        <v>882477</v>
      </c>
      <c r="K23" s="198">
        <v>-190.07</v>
      </c>
      <c r="L23" s="197">
        <v>882667.07</v>
      </c>
      <c r="M23" s="197">
        <v>1147189.73</v>
      </c>
      <c r="N23" s="197">
        <v>-264522.65999999997</v>
      </c>
      <c r="O23" s="198">
        <v>0</v>
      </c>
      <c r="P23" s="197">
        <v>-264522.65999999997</v>
      </c>
    </row>
    <row r="24" spans="1:17" ht="15" customHeight="1" x14ac:dyDescent="0.2">
      <c r="A24" s="201" t="s">
        <v>915</v>
      </c>
      <c r="B24" s="200" t="s">
        <v>485</v>
      </c>
      <c r="C24" s="200" t="s">
        <v>914</v>
      </c>
      <c r="D24" s="200" t="s">
        <v>525</v>
      </c>
      <c r="E24" s="200" t="s">
        <v>754</v>
      </c>
      <c r="F24" s="191" t="s">
        <v>1038</v>
      </c>
      <c r="G24" s="191" t="s">
        <v>1036</v>
      </c>
      <c r="H24" s="198">
        <v>2018</v>
      </c>
      <c r="I24" s="198">
        <v>2.1</v>
      </c>
      <c r="J24" s="197">
        <v>1129.32</v>
      </c>
      <c r="K24" s="198">
        <v>0</v>
      </c>
      <c r="L24" s="197">
        <v>1129.32</v>
      </c>
      <c r="M24" s="198">
        <v>0</v>
      </c>
      <c r="N24" s="197">
        <v>1129.32</v>
      </c>
      <c r="O24" s="198">
        <v>0</v>
      </c>
      <c r="P24" s="197">
        <v>1129.32</v>
      </c>
    </row>
    <row r="25" spans="1:17" ht="15" customHeight="1" x14ac:dyDescent="0.2">
      <c r="A25" s="201" t="s">
        <v>915</v>
      </c>
      <c r="B25" s="200" t="s">
        <v>485</v>
      </c>
      <c r="C25" s="200" t="s">
        <v>914</v>
      </c>
      <c r="D25" s="200" t="s">
        <v>919</v>
      </c>
      <c r="E25" s="200" t="s">
        <v>754</v>
      </c>
      <c r="F25" s="191" t="s">
        <v>1038</v>
      </c>
      <c r="G25" s="191" t="s">
        <v>1036</v>
      </c>
      <c r="H25" s="198">
        <v>2018</v>
      </c>
      <c r="I25" s="198">
        <v>42</v>
      </c>
      <c r="J25" s="198">
        <v>0</v>
      </c>
      <c r="K25" s="198">
        <v>0</v>
      </c>
      <c r="L25" s="198">
        <v>0</v>
      </c>
      <c r="M25" s="198">
        <v>0</v>
      </c>
      <c r="N25" s="198">
        <v>0</v>
      </c>
      <c r="O25" s="198">
        <v>0</v>
      </c>
      <c r="P25" s="198">
        <v>0</v>
      </c>
    </row>
    <row r="26" spans="1:17" ht="15" customHeight="1" x14ac:dyDescent="0.2">
      <c r="A26" s="201" t="s">
        <v>915</v>
      </c>
      <c r="B26" s="200" t="s">
        <v>485</v>
      </c>
      <c r="C26" s="200" t="s">
        <v>914</v>
      </c>
      <c r="D26" s="200" t="s">
        <v>528</v>
      </c>
      <c r="E26" s="200" t="s">
        <v>754</v>
      </c>
      <c r="F26" s="191" t="s">
        <v>1038</v>
      </c>
      <c r="G26" s="191" t="s">
        <v>1036</v>
      </c>
      <c r="H26" s="198">
        <v>2018</v>
      </c>
      <c r="I26" s="198">
        <v>6</v>
      </c>
      <c r="J26" s="198">
        <v>0</v>
      </c>
      <c r="K26" s="198">
        <v>0</v>
      </c>
      <c r="L26" s="198">
        <v>0</v>
      </c>
      <c r="M26" s="198">
        <v>0</v>
      </c>
      <c r="N26" s="198">
        <v>0</v>
      </c>
      <c r="O26" s="198">
        <v>0</v>
      </c>
      <c r="P26" s="198">
        <v>0</v>
      </c>
    </row>
    <row r="27" spans="1:17" ht="15" customHeight="1" x14ac:dyDescent="0.2">
      <c r="A27" s="201" t="s">
        <v>915</v>
      </c>
      <c r="B27" s="200" t="s">
        <v>485</v>
      </c>
      <c r="C27" s="200" t="s">
        <v>914</v>
      </c>
      <c r="D27" s="200" t="s">
        <v>524</v>
      </c>
      <c r="E27" s="200" t="s">
        <v>754</v>
      </c>
      <c r="F27" s="191" t="s">
        <v>1038</v>
      </c>
      <c r="G27" s="191" t="s">
        <v>1036</v>
      </c>
      <c r="H27" s="198">
        <v>2018</v>
      </c>
      <c r="I27" s="198">
        <v>11</v>
      </c>
      <c r="J27" s="198">
        <v>0</v>
      </c>
      <c r="K27" s="198">
        <v>0</v>
      </c>
      <c r="L27" s="198">
        <v>0</v>
      </c>
      <c r="M27" s="198">
        <v>0</v>
      </c>
      <c r="N27" s="198">
        <v>0</v>
      </c>
      <c r="O27" s="198">
        <v>0</v>
      </c>
      <c r="P27" s="198">
        <v>0</v>
      </c>
    </row>
    <row r="28" spans="1:17" ht="15" customHeight="1" x14ac:dyDescent="0.2">
      <c r="A28" s="201" t="s">
        <v>915</v>
      </c>
      <c r="B28" s="200" t="s">
        <v>485</v>
      </c>
      <c r="C28" s="200" t="s">
        <v>914</v>
      </c>
      <c r="D28" s="200" t="s">
        <v>1078</v>
      </c>
      <c r="E28" s="200" t="s">
        <v>239</v>
      </c>
      <c r="F28" s="191" t="s">
        <v>1040</v>
      </c>
      <c r="G28" s="191" t="s">
        <v>1036</v>
      </c>
      <c r="H28" s="198">
        <v>2018</v>
      </c>
      <c r="I28" s="198">
        <v>105.8</v>
      </c>
      <c r="J28" s="197">
        <v>335790.32</v>
      </c>
      <c r="K28" s="197">
        <v>2797.84</v>
      </c>
      <c r="L28" s="197">
        <v>332992.46999999997</v>
      </c>
      <c r="M28" s="198">
        <v>672.1</v>
      </c>
      <c r="N28" s="197">
        <v>332320.37</v>
      </c>
      <c r="O28" s="198">
        <v>0</v>
      </c>
      <c r="P28" s="197">
        <v>332320.37</v>
      </c>
    </row>
    <row r="29" spans="1:17" ht="15" customHeight="1" x14ac:dyDescent="0.2">
      <c r="A29" s="201" t="s">
        <v>915</v>
      </c>
      <c r="B29" s="200" t="s">
        <v>485</v>
      </c>
      <c r="C29" s="200" t="s">
        <v>914</v>
      </c>
      <c r="D29" s="200" t="s">
        <v>426</v>
      </c>
      <c r="E29" s="200" t="s">
        <v>140</v>
      </c>
      <c r="F29" s="191" t="s">
        <v>1047</v>
      </c>
      <c r="G29" s="191" t="s">
        <v>1036</v>
      </c>
      <c r="H29" s="198">
        <v>2018</v>
      </c>
      <c r="I29" s="197">
        <v>4500</v>
      </c>
      <c r="J29" s="197">
        <v>13799324.470000001</v>
      </c>
      <c r="K29" s="197">
        <v>1243806.3500000001</v>
      </c>
      <c r="L29" s="197">
        <v>12555518.119999999</v>
      </c>
      <c r="M29" s="198">
        <v>0</v>
      </c>
      <c r="N29" s="197">
        <v>12555518.119999999</v>
      </c>
      <c r="O29" s="198">
        <v>0</v>
      </c>
      <c r="P29" s="197">
        <v>12555518.119999999</v>
      </c>
    </row>
    <row r="30" spans="1:17" ht="15" customHeight="1" x14ac:dyDescent="0.2">
      <c r="A30" s="201" t="s">
        <v>915</v>
      </c>
      <c r="B30" s="200" t="s">
        <v>485</v>
      </c>
      <c r="C30" s="200" t="s">
        <v>914</v>
      </c>
      <c r="D30" s="200" t="s">
        <v>917</v>
      </c>
      <c r="E30" s="200" t="s">
        <v>916</v>
      </c>
      <c r="F30" s="191" t="s">
        <v>1042</v>
      </c>
      <c r="G30" s="191" t="s">
        <v>1036</v>
      </c>
      <c r="H30" s="198">
        <v>2018</v>
      </c>
      <c r="I30" s="197">
        <v>1332</v>
      </c>
      <c r="J30" s="197">
        <v>2704940</v>
      </c>
      <c r="K30" s="197">
        <v>33458.839999999997</v>
      </c>
      <c r="L30" s="197">
        <v>2671481.16</v>
      </c>
      <c r="M30" s="197">
        <v>3348082.8</v>
      </c>
      <c r="N30" s="197">
        <v>-676601.64</v>
      </c>
      <c r="O30" s="198">
        <v>0</v>
      </c>
      <c r="P30" s="197">
        <v>-676601.64</v>
      </c>
    </row>
    <row r="31" spans="1:17" ht="15" customHeight="1" x14ac:dyDescent="0.25">
      <c r="A31" s="201" t="s">
        <v>915</v>
      </c>
      <c r="B31" s="200" t="s">
        <v>485</v>
      </c>
      <c r="C31" s="200" t="s">
        <v>914</v>
      </c>
      <c r="D31" s="200" t="s">
        <v>513</v>
      </c>
      <c r="E31" s="200" t="s">
        <v>140</v>
      </c>
      <c r="F31" s="191" t="s">
        <v>1048</v>
      </c>
      <c r="G31" s="191" t="s">
        <v>1036</v>
      </c>
      <c r="H31" s="198">
        <v>2018</v>
      </c>
      <c r="I31" s="199">
        <v>723</v>
      </c>
      <c r="J31" s="197">
        <v>3899915.64</v>
      </c>
      <c r="K31" s="197">
        <v>402669.64</v>
      </c>
      <c r="L31" s="197">
        <v>3497246</v>
      </c>
      <c r="M31" s="198">
        <v>0</v>
      </c>
      <c r="N31" s="197">
        <v>3497246</v>
      </c>
      <c r="O31" s="198">
        <v>0</v>
      </c>
      <c r="P31" s="197">
        <v>3497246</v>
      </c>
      <c r="Q31" s="184">
        <f>P31/(I31*8760)</f>
        <v>0.55218394942432913</v>
      </c>
    </row>
    <row r="32" spans="1:17" ht="15" customHeight="1" x14ac:dyDescent="0.2">
      <c r="A32" s="196" t="s">
        <v>1008</v>
      </c>
      <c r="B32" s="195" t="s">
        <v>722</v>
      </c>
      <c r="C32" s="193" t="s">
        <v>1007</v>
      </c>
      <c r="D32" s="193" t="s">
        <v>1006</v>
      </c>
      <c r="E32" s="193" t="s">
        <v>1005</v>
      </c>
      <c r="F32" s="192" t="s">
        <v>1038</v>
      </c>
      <c r="G32" s="191" t="s">
        <v>1036</v>
      </c>
      <c r="H32" s="190">
        <v>2018</v>
      </c>
      <c r="I32" s="190">
        <v>0.8</v>
      </c>
      <c r="J32" s="189">
        <v>7017.39</v>
      </c>
      <c r="K32" s="190">
        <v>0</v>
      </c>
      <c r="L32" s="189">
        <v>7017.39</v>
      </c>
      <c r="M32" s="190">
        <v>174.2</v>
      </c>
      <c r="N32" s="189">
        <v>7017.39</v>
      </c>
      <c r="O32" s="189">
        <v>7191.59</v>
      </c>
      <c r="P32" s="190">
        <v>0</v>
      </c>
    </row>
    <row r="33" spans="1:16" ht="15" customHeight="1" x14ac:dyDescent="0.2">
      <c r="A33" s="194" t="s">
        <v>838</v>
      </c>
      <c r="B33" s="193" t="s">
        <v>722</v>
      </c>
      <c r="C33" s="193" t="s">
        <v>837</v>
      </c>
      <c r="D33" s="193" t="s">
        <v>836</v>
      </c>
      <c r="E33" s="193" t="s">
        <v>239</v>
      </c>
      <c r="F33" s="192" t="s">
        <v>1038</v>
      </c>
      <c r="G33" s="191" t="s">
        <v>1036</v>
      </c>
      <c r="H33" s="190">
        <v>2018</v>
      </c>
      <c r="I33" s="190">
        <v>86.6</v>
      </c>
      <c r="J33" s="189">
        <v>244175.71</v>
      </c>
      <c r="K33" s="190">
        <v>0</v>
      </c>
      <c r="L33" s="189">
        <v>244175.71</v>
      </c>
      <c r="M33" s="190">
        <v>571.67999999999995</v>
      </c>
      <c r="N33" s="189">
        <v>243604.03</v>
      </c>
      <c r="O33" s="190">
        <v>6</v>
      </c>
      <c r="P33" s="189">
        <v>243598.03</v>
      </c>
    </row>
    <row r="34" spans="1:16" ht="15" customHeight="1" x14ac:dyDescent="0.2">
      <c r="A34" s="194" t="s">
        <v>1004</v>
      </c>
      <c r="B34" s="193" t="s">
        <v>722</v>
      </c>
      <c r="C34" s="193" t="s">
        <v>1003</v>
      </c>
      <c r="D34" s="193" t="s">
        <v>1002</v>
      </c>
      <c r="E34" s="193" t="s">
        <v>720</v>
      </c>
      <c r="F34" s="192" t="s">
        <v>1037</v>
      </c>
      <c r="G34" s="191" t="s">
        <v>1036</v>
      </c>
      <c r="H34" s="190">
        <v>2018</v>
      </c>
      <c r="I34" s="190">
        <v>50</v>
      </c>
      <c r="J34" s="189">
        <v>230595.59</v>
      </c>
      <c r="K34" s="189">
        <v>23349.52</v>
      </c>
      <c r="L34" s="189">
        <v>207246.07</v>
      </c>
      <c r="M34" s="189">
        <v>5110.34</v>
      </c>
      <c r="N34" s="189">
        <v>207246.07</v>
      </c>
      <c r="O34" s="190">
        <v>0</v>
      </c>
      <c r="P34" s="189">
        <v>207246.07</v>
      </c>
    </row>
    <row r="35" spans="1:16" ht="15" customHeight="1" x14ac:dyDescent="0.2">
      <c r="A35" s="194" t="s">
        <v>1001</v>
      </c>
      <c r="B35" s="193" t="s">
        <v>722</v>
      </c>
      <c r="C35" s="193" t="s">
        <v>1000</v>
      </c>
      <c r="D35" s="193" t="s">
        <v>999</v>
      </c>
      <c r="E35" s="193" t="s">
        <v>725</v>
      </c>
      <c r="F35" s="192" t="s">
        <v>1037</v>
      </c>
      <c r="G35" s="191" t="s">
        <v>1036</v>
      </c>
      <c r="H35" s="190">
        <v>2018</v>
      </c>
      <c r="I35" s="190">
        <v>75</v>
      </c>
      <c r="J35" s="189">
        <v>150738</v>
      </c>
      <c r="K35" s="190">
        <v>0</v>
      </c>
      <c r="L35" s="189">
        <v>150738</v>
      </c>
      <c r="M35" s="189">
        <v>1064.1199999999999</v>
      </c>
      <c r="N35" s="189">
        <v>149673.88</v>
      </c>
      <c r="O35" s="190">
        <v>0</v>
      </c>
      <c r="P35" s="189">
        <v>149673.88</v>
      </c>
    </row>
    <row r="36" spans="1:16" ht="15" customHeight="1" x14ac:dyDescent="0.2">
      <c r="A36" s="194" t="s">
        <v>781</v>
      </c>
      <c r="B36" s="193" t="s">
        <v>722</v>
      </c>
      <c r="C36" s="193" t="s">
        <v>998</v>
      </c>
      <c r="D36" s="193" t="s">
        <v>997</v>
      </c>
      <c r="E36" s="193" t="s">
        <v>725</v>
      </c>
      <c r="F36" s="192" t="s">
        <v>1037</v>
      </c>
      <c r="G36" s="191" t="s">
        <v>1036</v>
      </c>
      <c r="H36" s="190">
        <v>2018</v>
      </c>
      <c r="I36" s="190">
        <v>10</v>
      </c>
      <c r="J36" s="189">
        <v>27261.72</v>
      </c>
      <c r="K36" s="190">
        <v>0</v>
      </c>
      <c r="L36" s="189">
        <v>27261.72</v>
      </c>
      <c r="M36" s="190">
        <v>101.32</v>
      </c>
      <c r="N36" s="189">
        <v>27261.72</v>
      </c>
      <c r="O36" s="190">
        <v>29.88</v>
      </c>
      <c r="P36" s="189">
        <v>27261.72</v>
      </c>
    </row>
    <row r="37" spans="1:16" ht="15" customHeight="1" x14ac:dyDescent="0.2">
      <c r="A37" s="194" t="s">
        <v>996</v>
      </c>
      <c r="B37" s="193" t="s">
        <v>722</v>
      </c>
      <c r="C37" s="193" t="s">
        <v>995</v>
      </c>
      <c r="D37" s="193" t="s">
        <v>994</v>
      </c>
      <c r="E37" s="193" t="s">
        <v>725</v>
      </c>
      <c r="F37" s="192" t="s">
        <v>1037</v>
      </c>
      <c r="G37" s="191" t="s">
        <v>1036</v>
      </c>
      <c r="H37" s="190">
        <v>2018</v>
      </c>
      <c r="I37" s="190">
        <v>19.98</v>
      </c>
      <c r="J37" s="189">
        <v>53464.91</v>
      </c>
      <c r="K37" s="190">
        <v>0</v>
      </c>
      <c r="L37" s="189">
        <v>53464.91</v>
      </c>
      <c r="M37" s="190">
        <v>175.33</v>
      </c>
      <c r="N37" s="189">
        <v>53464.91</v>
      </c>
      <c r="O37" s="190">
        <v>33.69</v>
      </c>
      <c r="P37" s="189">
        <v>53464.91</v>
      </c>
    </row>
    <row r="38" spans="1:16" ht="15" customHeight="1" x14ac:dyDescent="0.2">
      <c r="A38" s="194" t="s">
        <v>993</v>
      </c>
      <c r="B38" s="193" t="s">
        <v>722</v>
      </c>
      <c r="C38" s="193" t="s">
        <v>992</v>
      </c>
      <c r="D38" s="193" t="s">
        <v>486</v>
      </c>
      <c r="E38" s="193" t="s">
        <v>140</v>
      </c>
      <c r="F38" s="192" t="s">
        <v>1067</v>
      </c>
      <c r="G38" s="191" t="s">
        <v>1036</v>
      </c>
      <c r="H38" s="190">
        <v>2018</v>
      </c>
      <c r="I38" s="190">
        <v>600</v>
      </c>
      <c r="J38" s="189">
        <v>1857223</v>
      </c>
      <c r="K38" s="189">
        <v>150128</v>
      </c>
      <c r="L38" s="189">
        <v>1707095</v>
      </c>
      <c r="M38" s="190">
        <v>0</v>
      </c>
      <c r="N38" s="189">
        <v>1707095</v>
      </c>
      <c r="O38" s="190">
        <v>0</v>
      </c>
      <c r="P38" s="189">
        <v>1707095</v>
      </c>
    </row>
    <row r="39" spans="1:16" x14ac:dyDescent="0.2">
      <c r="A39" s="194" t="s">
        <v>991</v>
      </c>
      <c r="B39" s="193" t="s">
        <v>722</v>
      </c>
      <c r="C39" s="193" t="s">
        <v>990</v>
      </c>
      <c r="D39" s="193" t="s">
        <v>989</v>
      </c>
      <c r="E39" s="193" t="s">
        <v>239</v>
      </c>
      <c r="F39" s="192" t="s">
        <v>1038</v>
      </c>
      <c r="G39" s="191" t="s">
        <v>1036</v>
      </c>
      <c r="H39" s="190">
        <v>2018</v>
      </c>
      <c r="I39" s="190">
        <v>133.69999999999999</v>
      </c>
      <c r="J39" s="189">
        <v>412035.51</v>
      </c>
      <c r="K39" s="190">
        <v>0</v>
      </c>
      <c r="L39" s="189">
        <v>412035.51</v>
      </c>
      <c r="M39" s="190">
        <v>295.79000000000002</v>
      </c>
      <c r="N39" s="189">
        <v>411739.73</v>
      </c>
      <c r="O39" s="190">
        <v>282.14999999999998</v>
      </c>
      <c r="P39" s="189">
        <v>403587.3</v>
      </c>
    </row>
    <row r="40" spans="1:16" x14ac:dyDescent="0.2">
      <c r="A40" s="194" t="s">
        <v>988</v>
      </c>
      <c r="B40" s="193" t="s">
        <v>722</v>
      </c>
      <c r="C40" s="193" t="s">
        <v>1077</v>
      </c>
      <c r="D40" s="193" t="s">
        <v>986</v>
      </c>
      <c r="E40" s="193" t="s">
        <v>239</v>
      </c>
      <c r="F40" s="192" t="s">
        <v>1040</v>
      </c>
      <c r="G40" s="191" t="s">
        <v>1036</v>
      </c>
      <c r="H40" s="190">
        <v>2018</v>
      </c>
      <c r="I40" s="190">
        <v>90.8</v>
      </c>
      <c r="J40" s="189">
        <v>287529.33</v>
      </c>
      <c r="K40" s="190">
        <v>0</v>
      </c>
      <c r="L40" s="189">
        <v>287529.33</v>
      </c>
      <c r="M40" s="190">
        <v>385.34</v>
      </c>
      <c r="N40" s="189">
        <v>287143.99</v>
      </c>
      <c r="O40" s="190">
        <v>385.34</v>
      </c>
      <c r="P40" s="189">
        <v>287529.33</v>
      </c>
    </row>
    <row r="41" spans="1:16" x14ac:dyDescent="0.2">
      <c r="A41" s="194" t="s">
        <v>985</v>
      </c>
      <c r="B41" s="193" t="s">
        <v>722</v>
      </c>
      <c r="C41" s="193" t="s">
        <v>984</v>
      </c>
      <c r="D41" s="193" t="s">
        <v>983</v>
      </c>
      <c r="E41" s="193" t="s">
        <v>725</v>
      </c>
      <c r="F41" s="192" t="s">
        <v>1040</v>
      </c>
      <c r="G41" s="191" t="s">
        <v>1036</v>
      </c>
      <c r="H41" s="190">
        <v>2018</v>
      </c>
      <c r="I41" s="190">
        <v>9</v>
      </c>
      <c r="J41" s="189">
        <v>18691.12</v>
      </c>
      <c r="K41" s="190">
        <v>135.21</v>
      </c>
      <c r="L41" s="189">
        <v>18826.330000000002</v>
      </c>
      <c r="M41" s="190">
        <v>0</v>
      </c>
      <c r="N41" s="189">
        <v>18691.12</v>
      </c>
      <c r="O41" s="190">
        <v>0</v>
      </c>
      <c r="P41" s="189">
        <v>18691.12</v>
      </c>
    </row>
    <row r="42" spans="1:16" x14ac:dyDescent="0.2">
      <c r="A42" s="194" t="s">
        <v>933</v>
      </c>
      <c r="B42" s="193" t="s">
        <v>722</v>
      </c>
      <c r="C42" s="193" t="s">
        <v>1076</v>
      </c>
      <c r="D42" s="193" t="s">
        <v>931</v>
      </c>
      <c r="E42" s="193" t="s">
        <v>239</v>
      </c>
      <c r="F42" s="192" t="s">
        <v>1038</v>
      </c>
      <c r="G42" s="191" t="s">
        <v>1036</v>
      </c>
      <c r="H42" s="190">
        <v>2018</v>
      </c>
      <c r="I42" s="190">
        <v>1.8</v>
      </c>
      <c r="J42" s="189">
        <v>5559.23</v>
      </c>
      <c r="K42" s="190">
        <v>0</v>
      </c>
      <c r="L42" s="189">
        <v>5559.23</v>
      </c>
      <c r="M42" s="190">
        <v>0</v>
      </c>
      <c r="N42" s="189">
        <v>5559.23</v>
      </c>
      <c r="O42" s="190">
        <v>0</v>
      </c>
      <c r="P42" s="189">
        <v>5559.23</v>
      </c>
    </row>
    <row r="43" spans="1:16" x14ac:dyDescent="0.2">
      <c r="A43" s="194" t="s">
        <v>982</v>
      </c>
      <c r="B43" s="193" t="s">
        <v>722</v>
      </c>
      <c r="C43" s="193" t="s">
        <v>981</v>
      </c>
      <c r="D43" s="193" t="s">
        <v>980</v>
      </c>
      <c r="E43" s="193" t="s">
        <v>785</v>
      </c>
      <c r="F43" s="191" t="s">
        <v>1042</v>
      </c>
      <c r="G43" s="191" t="s">
        <v>1036</v>
      </c>
      <c r="H43" s="190">
        <v>2018</v>
      </c>
      <c r="I43" s="190">
        <v>670</v>
      </c>
      <c r="J43" s="189">
        <v>270194.19</v>
      </c>
      <c r="K43" s="189">
        <v>2990.47</v>
      </c>
      <c r="L43" s="189">
        <v>267203.71000000002</v>
      </c>
      <c r="M43" s="189">
        <v>12944.81</v>
      </c>
      <c r="N43" s="189">
        <v>267203.71000000002</v>
      </c>
      <c r="O43" s="190">
        <v>0</v>
      </c>
      <c r="P43" s="189">
        <v>267203.71000000002</v>
      </c>
    </row>
    <row r="44" spans="1:16" x14ac:dyDescent="0.2">
      <c r="A44" s="194" t="s">
        <v>978</v>
      </c>
      <c r="B44" s="193" t="s">
        <v>722</v>
      </c>
      <c r="C44" s="193" t="s">
        <v>977</v>
      </c>
      <c r="D44" s="193" t="s">
        <v>979</v>
      </c>
      <c r="E44" s="193" t="s">
        <v>754</v>
      </c>
      <c r="F44" s="192" t="s">
        <v>1049</v>
      </c>
      <c r="G44" s="191" t="s">
        <v>1036</v>
      </c>
      <c r="H44" s="190">
        <v>2018</v>
      </c>
      <c r="I44" s="190">
        <v>4</v>
      </c>
      <c r="J44" s="189">
        <v>28112.14</v>
      </c>
      <c r="K44" s="190">
        <v>0</v>
      </c>
      <c r="L44" s="189">
        <v>28112.14</v>
      </c>
      <c r="M44" s="190">
        <v>0</v>
      </c>
      <c r="N44" s="189">
        <v>28112.14</v>
      </c>
      <c r="O44" s="190">
        <v>11.45</v>
      </c>
      <c r="P44" s="189">
        <v>28100.69</v>
      </c>
    </row>
    <row r="45" spans="1:16" x14ac:dyDescent="0.2">
      <c r="A45" s="194" t="s">
        <v>978</v>
      </c>
      <c r="B45" s="193" t="s">
        <v>722</v>
      </c>
      <c r="C45" s="193" t="s">
        <v>977</v>
      </c>
      <c r="D45" s="193" t="s">
        <v>976</v>
      </c>
      <c r="E45" s="193" t="s">
        <v>754</v>
      </c>
      <c r="F45" s="192" t="s">
        <v>1049</v>
      </c>
      <c r="G45" s="191" t="s">
        <v>1036</v>
      </c>
      <c r="H45" s="190">
        <v>2018</v>
      </c>
      <c r="I45" s="190">
        <v>3</v>
      </c>
      <c r="J45" s="189">
        <v>17759.64</v>
      </c>
      <c r="K45" s="190">
        <v>0</v>
      </c>
      <c r="L45" s="189">
        <v>17759.64</v>
      </c>
      <c r="M45" s="190">
        <v>0</v>
      </c>
      <c r="N45" s="189">
        <v>17759.64</v>
      </c>
      <c r="O45" s="190">
        <v>10.1</v>
      </c>
      <c r="P45" s="189">
        <v>17749.54</v>
      </c>
    </row>
    <row r="46" spans="1:16" x14ac:dyDescent="0.2">
      <c r="A46" s="194" t="s">
        <v>975</v>
      </c>
      <c r="B46" s="193" t="s">
        <v>722</v>
      </c>
      <c r="C46" s="193" t="s">
        <v>974</v>
      </c>
      <c r="D46" s="193" t="s">
        <v>973</v>
      </c>
      <c r="E46" s="193" t="s">
        <v>239</v>
      </c>
      <c r="F46" s="192" t="s">
        <v>1037</v>
      </c>
      <c r="G46" s="191" t="s">
        <v>1036</v>
      </c>
      <c r="H46" s="190">
        <v>2018</v>
      </c>
      <c r="I46" s="190">
        <v>135.19999999999999</v>
      </c>
      <c r="J46" s="189">
        <v>336163.48</v>
      </c>
      <c r="K46" s="190">
        <v>0</v>
      </c>
      <c r="L46" s="189">
        <v>336163.48</v>
      </c>
      <c r="M46" s="189">
        <v>1514.49</v>
      </c>
      <c r="N46" s="189">
        <v>336163.48</v>
      </c>
      <c r="O46" s="189">
        <v>1514.49</v>
      </c>
      <c r="P46" s="189">
        <v>336163.48</v>
      </c>
    </row>
    <row r="47" spans="1:16" x14ac:dyDescent="0.2">
      <c r="A47" s="196" t="s">
        <v>972</v>
      </c>
      <c r="B47" s="195" t="s">
        <v>722</v>
      </c>
      <c r="C47" s="193" t="s">
        <v>971</v>
      </c>
      <c r="D47" s="193" t="s">
        <v>1075</v>
      </c>
      <c r="E47" s="193" t="s">
        <v>127</v>
      </c>
      <c r="F47" s="192" t="s">
        <v>1067</v>
      </c>
      <c r="G47" s="191" t="s">
        <v>1036</v>
      </c>
      <c r="H47" s="190">
        <v>2018</v>
      </c>
      <c r="I47" s="190">
        <v>4.2</v>
      </c>
      <c r="J47" s="189">
        <v>18919.62</v>
      </c>
      <c r="K47" s="189">
        <v>3059.41</v>
      </c>
      <c r="L47" s="189">
        <v>15860.21</v>
      </c>
      <c r="M47" s="190">
        <v>0</v>
      </c>
      <c r="N47" s="189">
        <v>15860.21</v>
      </c>
      <c r="O47" s="190">
        <v>0</v>
      </c>
      <c r="P47" s="189">
        <v>15860.21</v>
      </c>
    </row>
    <row r="48" spans="1:16" x14ac:dyDescent="0.2">
      <c r="A48" s="194" t="s">
        <v>969</v>
      </c>
      <c r="B48" s="193" t="s">
        <v>722</v>
      </c>
      <c r="C48" s="193" t="s">
        <v>968</v>
      </c>
      <c r="D48" s="193" t="s">
        <v>967</v>
      </c>
      <c r="E48" s="193" t="s">
        <v>239</v>
      </c>
      <c r="F48" s="192" t="s">
        <v>1037</v>
      </c>
      <c r="G48" s="191" t="s">
        <v>1036</v>
      </c>
      <c r="H48" s="190">
        <v>2018</v>
      </c>
      <c r="I48" s="190">
        <v>21</v>
      </c>
      <c r="J48" s="189">
        <v>59884.14</v>
      </c>
      <c r="K48" s="190">
        <v>0</v>
      </c>
      <c r="L48" s="189">
        <v>59884.14</v>
      </c>
      <c r="M48" s="190">
        <v>130.03</v>
      </c>
      <c r="N48" s="189">
        <v>59754.11</v>
      </c>
      <c r="O48" s="190">
        <v>0</v>
      </c>
      <c r="P48" s="189">
        <v>59754.11</v>
      </c>
    </row>
    <row r="49" spans="1:16" x14ac:dyDescent="0.2">
      <c r="A49" s="194">
        <v>820655</v>
      </c>
      <c r="B49" s="193" t="s">
        <v>756</v>
      </c>
      <c r="C49" s="193" t="s">
        <v>963</v>
      </c>
      <c r="D49" s="193" t="s">
        <v>966</v>
      </c>
      <c r="E49" s="193" t="s">
        <v>785</v>
      </c>
      <c r="F49" s="192" t="s">
        <v>1040</v>
      </c>
      <c r="G49" s="191" t="s">
        <v>1036</v>
      </c>
      <c r="H49" s="190">
        <v>2018</v>
      </c>
      <c r="I49" s="190">
        <v>40</v>
      </c>
      <c r="J49" s="190">
        <v>158.16999999999999</v>
      </c>
      <c r="K49" s="190">
        <v>89.28</v>
      </c>
      <c r="L49" s="190">
        <v>68.89</v>
      </c>
      <c r="M49" s="190">
        <v>0</v>
      </c>
      <c r="N49" s="190">
        <v>68.89</v>
      </c>
      <c r="O49" s="190">
        <v>0</v>
      </c>
      <c r="P49" s="190">
        <v>68.89</v>
      </c>
    </row>
    <row r="50" spans="1:16" x14ac:dyDescent="0.2">
      <c r="A50" s="194">
        <v>820655</v>
      </c>
      <c r="B50" s="193" t="s">
        <v>756</v>
      </c>
      <c r="C50" s="193" t="s">
        <v>963</v>
      </c>
      <c r="D50" s="193" t="s">
        <v>965</v>
      </c>
      <c r="E50" s="193" t="s">
        <v>785</v>
      </c>
      <c r="F50" s="192" t="s">
        <v>1040</v>
      </c>
      <c r="G50" s="191" t="s">
        <v>1036</v>
      </c>
      <c r="H50" s="190">
        <v>2018</v>
      </c>
      <c r="I50" s="190">
        <v>40</v>
      </c>
      <c r="J50" s="190">
        <v>157.04</v>
      </c>
      <c r="K50" s="190">
        <v>18.350000000000001</v>
      </c>
      <c r="L50" s="190">
        <v>138.69</v>
      </c>
      <c r="M50" s="190">
        <v>0</v>
      </c>
      <c r="N50" s="190">
        <v>138.69</v>
      </c>
      <c r="O50" s="190">
        <v>0</v>
      </c>
      <c r="P50" s="190">
        <v>138.69</v>
      </c>
    </row>
    <row r="51" spans="1:16" x14ac:dyDescent="0.2">
      <c r="A51" s="194">
        <v>820655</v>
      </c>
      <c r="B51" s="193" t="s">
        <v>756</v>
      </c>
      <c r="C51" s="193" t="s">
        <v>963</v>
      </c>
      <c r="D51" s="193" t="s">
        <v>962</v>
      </c>
      <c r="E51" s="193" t="s">
        <v>916</v>
      </c>
      <c r="F51" s="192" t="s">
        <v>1040</v>
      </c>
      <c r="G51" s="191" t="s">
        <v>1036</v>
      </c>
      <c r="H51" s="190">
        <v>2018</v>
      </c>
      <c r="I51" s="190">
        <v>180</v>
      </c>
      <c r="J51" s="189">
        <v>69519.759999999995</v>
      </c>
      <c r="K51" s="190">
        <v>821.56</v>
      </c>
      <c r="L51" s="189">
        <v>68698.2</v>
      </c>
      <c r="M51" s="189">
        <v>61116.4</v>
      </c>
      <c r="N51" s="189">
        <v>7581.8</v>
      </c>
      <c r="O51" s="190">
        <v>0</v>
      </c>
      <c r="P51" s="189">
        <v>7581.8</v>
      </c>
    </row>
    <row r="52" spans="1:16" x14ac:dyDescent="0.2">
      <c r="A52" s="194" t="s">
        <v>960</v>
      </c>
      <c r="B52" s="193" t="s">
        <v>756</v>
      </c>
      <c r="C52" s="193" t="s">
        <v>1073</v>
      </c>
      <c r="D52" s="193" t="s">
        <v>1074</v>
      </c>
      <c r="E52" s="193" t="s">
        <v>140</v>
      </c>
      <c r="F52" s="192" t="s">
        <v>1067</v>
      </c>
      <c r="G52" s="191" t="s">
        <v>1036</v>
      </c>
      <c r="H52" s="190">
        <v>2018</v>
      </c>
      <c r="I52" s="190">
        <v>300</v>
      </c>
      <c r="J52" s="190">
        <v>0</v>
      </c>
      <c r="K52" s="190">
        <v>0</v>
      </c>
      <c r="L52" s="190">
        <v>0</v>
      </c>
      <c r="M52" s="189">
        <v>3503.9</v>
      </c>
      <c r="N52" s="189">
        <v>-3503.9</v>
      </c>
      <c r="O52" s="190">
        <v>0</v>
      </c>
      <c r="P52" s="190"/>
    </row>
    <row r="53" spans="1:16" x14ac:dyDescent="0.2">
      <c r="A53" s="194" t="s">
        <v>960</v>
      </c>
      <c r="B53" s="193" t="s">
        <v>756</v>
      </c>
      <c r="C53" s="193" t="s">
        <v>1073</v>
      </c>
      <c r="D53" s="193" t="s">
        <v>958</v>
      </c>
      <c r="E53" s="193" t="s">
        <v>957</v>
      </c>
      <c r="F53" s="192" t="s">
        <v>1067</v>
      </c>
      <c r="G53" s="191" t="s">
        <v>1036</v>
      </c>
      <c r="H53" s="190">
        <v>2018</v>
      </c>
      <c r="I53" s="190">
        <v>204</v>
      </c>
      <c r="J53" s="190">
        <v>0</v>
      </c>
      <c r="K53" s="190">
        <v>0</v>
      </c>
      <c r="L53" s="190">
        <v>0</v>
      </c>
      <c r="M53" s="190">
        <v>0</v>
      </c>
      <c r="N53" s="190">
        <v>0</v>
      </c>
      <c r="O53" s="189">
        <v>2174</v>
      </c>
      <c r="P53" s="190"/>
    </row>
    <row r="54" spans="1:16" x14ac:dyDescent="0.2">
      <c r="A54" s="194" t="s">
        <v>956</v>
      </c>
      <c r="B54" s="193" t="s">
        <v>722</v>
      </c>
      <c r="C54" s="193" t="s">
        <v>955</v>
      </c>
      <c r="D54" s="193" t="s">
        <v>1072</v>
      </c>
      <c r="E54" s="193" t="s">
        <v>754</v>
      </c>
      <c r="F54" s="192" t="s">
        <v>1040</v>
      </c>
      <c r="G54" s="191" t="s">
        <v>1036</v>
      </c>
      <c r="H54" s="190">
        <v>2018</v>
      </c>
      <c r="I54" s="190">
        <v>1.5</v>
      </c>
      <c r="J54" s="189">
        <v>4819.1000000000004</v>
      </c>
      <c r="K54" s="190">
        <v>55.91</v>
      </c>
      <c r="L54" s="189">
        <v>4763.1899999999996</v>
      </c>
      <c r="M54" s="190">
        <v>0</v>
      </c>
      <c r="N54" s="189">
        <v>4763.1899999999996</v>
      </c>
      <c r="O54" s="190">
        <v>0</v>
      </c>
      <c r="P54" s="189">
        <v>4763.1899999999996</v>
      </c>
    </row>
    <row r="55" spans="1:16" x14ac:dyDescent="0.2">
      <c r="A55" s="194" t="s">
        <v>953</v>
      </c>
      <c r="B55" s="193" t="s">
        <v>722</v>
      </c>
      <c r="C55" s="193" t="s">
        <v>952</v>
      </c>
      <c r="D55" s="193" t="s">
        <v>1071</v>
      </c>
      <c r="E55" s="193" t="s">
        <v>725</v>
      </c>
      <c r="F55" s="192" t="s">
        <v>1047</v>
      </c>
      <c r="G55" s="191" t="s">
        <v>1036</v>
      </c>
      <c r="H55" s="190">
        <v>2018</v>
      </c>
      <c r="I55" s="190">
        <v>30</v>
      </c>
      <c r="J55" s="189">
        <v>59888.800000000003</v>
      </c>
      <c r="K55" s="190">
        <v>0</v>
      </c>
      <c r="L55" s="189">
        <v>59888.800000000003</v>
      </c>
      <c r="M55" s="190">
        <v>425.2</v>
      </c>
      <c r="N55" s="189">
        <v>59463.6</v>
      </c>
      <c r="O55" s="190">
        <v>0</v>
      </c>
      <c r="P55" s="189">
        <v>59463.6</v>
      </c>
    </row>
    <row r="56" spans="1:16" x14ac:dyDescent="0.2">
      <c r="A56" s="194" t="s">
        <v>951</v>
      </c>
      <c r="B56" s="193" t="s">
        <v>722</v>
      </c>
      <c r="C56" s="193" t="s">
        <v>950</v>
      </c>
      <c r="D56" s="193" t="s">
        <v>949</v>
      </c>
      <c r="E56" s="193" t="s">
        <v>239</v>
      </c>
      <c r="F56" s="192" t="s">
        <v>1037</v>
      </c>
      <c r="G56" s="191" t="s">
        <v>1036</v>
      </c>
      <c r="H56" s="190">
        <v>2018</v>
      </c>
      <c r="I56" s="190">
        <v>75</v>
      </c>
      <c r="J56" s="189">
        <v>228711.26</v>
      </c>
      <c r="K56" s="190">
        <v>540.02</v>
      </c>
      <c r="L56" s="189">
        <v>228171.24</v>
      </c>
      <c r="M56" s="190">
        <v>0</v>
      </c>
      <c r="N56" s="189">
        <v>228171.24</v>
      </c>
      <c r="O56" s="190">
        <v>540.02</v>
      </c>
      <c r="P56" s="189">
        <v>228171.24</v>
      </c>
    </row>
    <row r="57" spans="1:16" x14ac:dyDescent="0.2">
      <c r="A57" s="194" t="s">
        <v>948</v>
      </c>
      <c r="B57" s="193" t="s">
        <v>722</v>
      </c>
      <c r="C57" s="193" t="s">
        <v>947</v>
      </c>
      <c r="D57" s="193" t="s">
        <v>1070</v>
      </c>
      <c r="E57" s="193" t="s">
        <v>725</v>
      </c>
      <c r="F57" s="192" t="s">
        <v>1040</v>
      </c>
      <c r="G57" s="191" t="s">
        <v>1036</v>
      </c>
      <c r="H57" s="190">
        <v>2018</v>
      </c>
      <c r="I57" s="190">
        <v>36</v>
      </c>
      <c r="J57" s="189">
        <v>70552.17</v>
      </c>
      <c r="K57" s="190">
        <v>0</v>
      </c>
      <c r="L57" s="189">
        <v>70552.17</v>
      </c>
      <c r="M57" s="190">
        <v>153.01</v>
      </c>
      <c r="N57" s="189">
        <v>70399.16</v>
      </c>
      <c r="O57" s="190">
        <v>0</v>
      </c>
      <c r="P57" s="189">
        <v>70552.17</v>
      </c>
    </row>
    <row r="58" spans="1:16" x14ac:dyDescent="0.2">
      <c r="A58" s="194" t="s">
        <v>945</v>
      </c>
      <c r="B58" s="193" t="s">
        <v>722</v>
      </c>
      <c r="C58" s="193" t="s">
        <v>944</v>
      </c>
      <c r="D58" s="193" t="s">
        <v>1069</v>
      </c>
      <c r="E58" s="193" t="s">
        <v>239</v>
      </c>
      <c r="F58" s="192" t="s">
        <v>1040</v>
      </c>
      <c r="G58" s="191" t="s">
        <v>1036</v>
      </c>
      <c r="H58" s="190">
        <v>2018</v>
      </c>
      <c r="I58" s="190">
        <v>5.2</v>
      </c>
      <c r="J58" s="189">
        <v>7786.4</v>
      </c>
      <c r="K58" s="190">
        <v>0</v>
      </c>
      <c r="L58" s="189">
        <v>7786.4</v>
      </c>
      <c r="M58" s="190">
        <v>57.93</v>
      </c>
      <c r="N58" s="189">
        <v>7728.48</v>
      </c>
      <c r="O58" s="190">
        <v>0</v>
      </c>
      <c r="P58" s="189">
        <v>7728.48</v>
      </c>
    </row>
    <row r="59" spans="1:16" x14ac:dyDescent="0.2">
      <c r="A59" s="194" t="s">
        <v>942</v>
      </c>
      <c r="B59" s="193" t="s">
        <v>722</v>
      </c>
      <c r="C59" s="193" t="s">
        <v>941</v>
      </c>
      <c r="D59" s="193" t="s">
        <v>940</v>
      </c>
      <c r="E59" s="193" t="s">
        <v>785</v>
      </c>
      <c r="F59" s="192" t="s">
        <v>1038</v>
      </c>
      <c r="G59" s="191" t="s">
        <v>1036</v>
      </c>
      <c r="H59" s="190">
        <v>2018</v>
      </c>
      <c r="I59" s="190">
        <v>335</v>
      </c>
      <c r="J59" s="189">
        <v>121766.35</v>
      </c>
      <c r="K59" s="189">
        <v>1329.99</v>
      </c>
      <c r="L59" s="189">
        <v>120436.35</v>
      </c>
      <c r="M59" s="189">
        <v>6720.49</v>
      </c>
      <c r="N59" s="189">
        <v>120436.35</v>
      </c>
      <c r="O59" s="190">
        <v>0</v>
      </c>
      <c r="P59" s="189">
        <v>120436.35</v>
      </c>
    </row>
    <row r="60" spans="1:16" x14ac:dyDescent="0.2">
      <c r="A60" s="194" t="s">
        <v>939</v>
      </c>
      <c r="B60" s="193" t="s">
        <v>722</v>
      </c>
      <c r="C60" s="193" t="s">
        <v>938</v>
      </c>
      <c r="D60" s="193" t="s">
        <v>937</v>
      </c>
      <c r="E60" s="193" t="s">
        <v>239</v>
      </c>
      <c r="F60" s="192" t="s">
        <v>1038</v>
      </c>
      <c r="G60" s="191" t="s">
        <v>1036</v>
      </c>
      <c r="H60" s="190">
        <v>2018</v>
      </c>
      <c r="I60" s="190">
        <v>100</v>
      </c>
      <c r="J60" s="189">
        <v>313350.28000000003</v>
      </c>
      <c r="K60" s="190">
        <v>0</v>
      </c>
      <c r="L60" s="189">
        <v>313350.28000000003</v>
      </c>
      <c r="M60" s="190">
        <v>362.98</v>
      </c>
      <c r="N60" s="189">
        <v>306211.75</v>
      </c>
      <c r="O60" s="190">
        <v>362.98</v>
      </c>
      <c r="P60" s="189">
        <v>306211.75</v>
      </c>
    </row>
    <row r="61" spans="1:16" x14ac:dyDescent="0.2">
      <c r="A61" s="194" t="s">
        <v>936</v>
      </c>
      <c r="B61" s="193" t="s">
        <v>722</v>
      </c>
      <c r="C61" s="193" t="s">
        <v>935</v>
      </c>
      <c r="D61" s="193" t="s">
        <v>934</v>
      </c>
      <c r="E61" s="193" t="s">
        <v>725</v>
      </c>
      <c r="F61" s="192" t="s">
        <v>1040</v>
      </c>
      <c r="G61" s="191" t="s">
        <v>1036</v>
      </c>
      <c r="H61" s="190">
        <v>2018</v>
      </c>
      <c r="I61" s="190">
        <v>75</v>
      </c>
      <c r="J61" s="189">
        <v>147180.51999999999</v>
      </c>
      <c r="K61" s="190">
        <v>0</v>
      </c>
      <c r="L61" s="189">
        <v>147180.51999999999</v>
      </c>
      <c r="M61" s="189">
        <v>1091.8900000000001</v>
      </c>
      <c r="N61" s="189">
        <v>146088.63</v>
      </c>
      <c r="O61" s="190">
        <v>6</v>
      </c>
      <c r="P61" s="189">
        <v>146082.63</v>
      </c>
    </row>
    <row r="62" spans="1:16" x14ac:dyDescent="0.2">
      <c r="A62" s="194" t="s">
        <v>929</v>
      </c>
      <c r="B62" s="193" t="s">
        <v>722</v>
      </c>
      <c r="C62" s="193" t="s">
        <v>928</v>
      </c>
      <c r="D62" s="193" t="s">
        <v>930</v>
      </c>
      <c r="E62" s="193" t="s">
        <v>926</v>
      </c>
      <c r="F62" s="192" t="s">
        <v>1067</v>
      </c>
      <c r="G62" s="191" t="s">
        <v>1036</v>
      </c>
      <c r="H62" s="190">
        <v>2018</v>
      </c>
      <c r="I62" s="190">
        <v>3</v>
      </c>
      <c r="J62" s="189">
        <v>20344.45</v>
      </c>
      <c r="K62" s="190">
        <v>0</v>
      </c>
      <c r="L62" s="189">
        <v>20344.45</v>
      </c>
      <c r="M62" s="190">
        <v>0</v>
      </c>
      <c r="N62" s="189">
        <v>20344.45</v>
      </c>
      <c r="O62" s="190">
        <v>0</v>
      </c>
      <c r="P62" s="189">
        <v>20344.45</v>
      </c>
    </row>
    <row r="63" spans="1:16" x14ac:dyDescent="0.2">
      <c r="A63" s="196" t="s">
        <v>929</v>
      </c>
      <c r="B63" s="195" t="s">
        <v>722</v>
      </c>
      <c r="C63" s="193" t="s">
        <v>928</v>
      </c>
      <c r="D63" s="193" t="s">
        <v>927</v>
      </c>
      <c r="E63" s="193" t="s">
        <v>926</v>
      </c>
      <c r="F63" s="192" t="s">
        <v>1067</v>
      </c>
      <c r="G63" s="191" t="s">
        <v>1036</v>
      </c>
      <c r="H63" s="190">
        <v>2018</v>
      </c>
      <c r="I63" s="190">
        <v>5</v>
      </c>
      <c r="J63" s="189">
        <v>2954.68</v>
      </c>
      <c r="K63" s="190">
        <v>6.03</v>
      </c>
      <c r="L63" s="189">
        <v>2954.68</v>
      </c>
      <c r="M63" s="190">
        <v>6.03</v>
      </c>
      <c r="N63" s="189">
        <v>2954.68</v>
      </c>
      <c r="O63" s="190">
        <v>6.03</v>
      </c>
      <c r="P63" s="189">
        <v>2954.68</v>
      </c>
    </row>
    <row r="64" spans="1:16" x14ac:dyDescent="0.2">
      <c r="A64" s="196" t="s">
        <v>929</v>
      </c>
      <c r="B64" s="195" t="s">
        <v>722</v>
      </c>
      <c r="C64" s="193" t="s">
        <v>928</v>
      </c>
      <c r="D64" s="193" t="s">
        <v>1068</v>
      </c>
      <c r="E64" s="193" t="s">
        <v>926</v>
      </c>
      <c r="F64" s="192" t="s">
        <v>1067</v>
      </c>
      <c r="G64" s="191" t="s">
        <v>1036</v>
      </c>
      <c r="H64" s="190">
        <v>2018</v>
      </c>
      <c r="I64" s="190">
        <v>5</v>
      </c>
      <c r="J64" s="189">
        <v>9794.1</v>
      </c>
      <c r="K64" s="190">
        <v>4.95</v>
      </c>
      <c r="L64" s="189">
        <v>9794.1</v>
      </c>
      <c r="M64" s="190">
        <v>4.95</v>
      </c>
      <c r="N64" s="189">
        <v>9794.1</v>
      </c>
      <c r="O64" s="190">
        <v>4.95</v>
      </c>
      <c r="P64" s="189">
        <v>9794.1</v>
      </c>
    </row>
    <row r="65" spans="1:16" x14ac:dyDescent="0.2">
      <c r="A65" s="194" t="s">
        <v>925</v>
      </c>
      <c r="B65" s="193" t="s">
        <v>722</v>
      </c>
      <c r="C65" s="193" t="s">
        <v>924</v>
      </c>
      <c r="D65" s="193" t="s">
        <v>923</v>
      </c>
      <c r="E65" s="193" t="s">
        <v>725</v>
      </c>
      <c r="F65" s="192" t="s">
        <v>1067</v>
      </c>
      <c r="G65" s="191" t="s">
        <v>1036</v>
      </c>
      <c r="H65" s="190">
        <v>2018</v>
      </c>
      <c r="I65" s="190">
        <v>28</v>
      </c>
      <c r="J65" s="189">
        <v>58938.3</v>
      </c>
      <c r="K65" s="190">
        <v>0</v>
      </c>
      <c r="L65" s="189">
        <v>58938.3</v>
      </c>
      <c r="M65" s="190">
        <v>592.4</v>
      </c>
      <c r="N65" s="189">
        <v>58345.9</v>
      </c>
      <c r="O65" s="190">
        <v>0</v>
      </c>
      <c r="P65" s="189">
        <v>58345.9</v>
      </c>
    </row>
    <row r="66" spans="1:16" x14ac:dyDescent="0.2">
      <c r="A66" s="194" t="s">
        <v>913</v>
      </c>
      <c r="B66" s="193" t="s">
        <v>722</v>
      </c>
      <c r="C66" s="193" t="s">
        <v>912</v>
      </c>
      <c r="D66" s="193" t="s">
        <v>911</v>
      </c>
      <c r="E66" s="193" t="s">
        <v>725</v>
      </c>
      <c r="F66" s="192" t="s">
        <v>1037</v>
      </c>
      <c r="G66" s="191" t="s">
        <v>1036</v>
      </c>
      <c r="H66" s="190">
        <v>2018</v>
      </c>
      <c r="I66" s="190">
        <v>60</v>
      </c>
      <c r="J66" s="189">
        <v>128270.93</v>
      </c>
      <c r="K66" s="190">
        <v>0</v>
      </c>
      <c r="L66" s="189">
        <v>128270.93</v>
      </c>
      <c r="M66" s="190">
        <v>817.64</v>
      </c>
      <c r="N66" s="189">
        <v>127453.29</v>
      </c>
      <c r="O66" s="190">
        <v>0</v>
      </c>
      <c r="P66" s="189">
        <v>127453.29</v>
      </c>
    </row>
    <row r="67" spans="1:16" x14ac:dyDescent="0.2">
      <c r="A67" s="194" t="s">
        <v>910</v>
      </c>
      <c r="B67" s="193" t="s">
        <v>722</v>
      </c>
      <c r="C67" s="193" t="s">
        <v>909</v>
      </c>
      <c r="D67" s="193" t="s">
        <v>908</v>
      </c>
      <c r="E67" s="193" t="s">
        <v>725</v>
      </c>
      <c r="F67" s="192" t="s">
        <v>1038</v>
      </c>
      <c r="G67" s="191" t="s">
        <v>1036</v>
      </c>
      <c r="H67" s="190">
        <v>2018</v>
      </c>
      <c r="I67" s="190">
        <v>64</v>
      </c>
      <c r="J67" s="189">
        <v>145349.66</v>
      </c>
      <c r="K67" s="189">
        <v>1250.28</v>
      </c>
      <c r="L67" s="189">
        <v>144099.39000000001</v>
      </c>
      <c r="M67" s="190">
        <v>0</v>
      </c>
      <c r="N67" s="189">
        <v>144099.39000000001</v>
      </c>
      <c r="O67" s="190">
        <v>0</v>
      </c>
      <c r="P67" s="189">
        <v>144099.39000000001</v>
      </c>
    </row>
    <row r="68" spans="1:16" x14ac:dyDescent="0.2">
      <c r="A68" s="194" t="s">
        <v>907</v>
      </c>
      <c r="B68" s="193" t="s">
        <v>722</v>
      </c>
      <c r="C68" s="193" t="s">
        <v>906</v>
      </c>
      <c r="D68" s="193" t="s">
        <v>1066</v>
      </c>
      <c r="E68" s="193" t="s">
        <v>754</v>
      </c>
      <c r="F68" s="192" t="s">
        <v>1048</v>
      </c>
      <c r="G68" s="191" t="s">
        <v>1036</v>
      </c>
      <c r="H68" s="190">
        <v>2018</v>
      </c>
      <c r="I68" s="190">
        <v>2.5</v>
      </c>
      <c r="J68" s="189">
        <v>12472.39</v>
      </c>
      <c r="K68" s="190">
        <v>0</v>
      </c>
      <c r="L68" s="189">
        <v>12472.39</v>
      </c>
      <c r="M68" s="190">
        <v>0</v>
      </c>
      <c r="N68" s="189">
        <v>12472.39</v>
      </c>
      <c r="O68" s="190">
        <v>124.72</v>
      </c>
      <c r="P68" s="189">
        <v>12347.67</v>
      </c>
    </row>
    <row r="69" spans="1:16" x14ac:dyDescent="0.2">
      <c r="A69" s="194" t="s">
        <v>904</v>
      </c>
      <c r="B69" s="193" t="s">
        <v>722</v>
      </c>
      <c r="C69" s="193" t="s">
        <v>903</v>
      </c>
      <c r="D69" s="193" t="s">
        <v>902</v>
      </c>
      <c r="E69" s="193" t="s">
        <v>239</v>
      </c>
      <c r="F69" s="192" t="s">
        <v>1037</v>
      </c>
      <c r="G69" s="191" t="s">
        <v>1036</v>
      </c>
      <c r="H69" s="190">
        <v>2018</v>
      </c>
      <c r="I69" s="190">
        <v>111</v>
      </c>
      <c r="J69" s="189">
        <v>370867.36</v>
      </c>
      <c r="K69" s="190">
        <v>0</v>
      </c>
      <c r="L69" s="189">
        <v>370867.36</v>
      </c>
      <c r="M69" s="190">
        <v>276.16000000000003</v>
      </c>
      <c r="N69" s="189">
        <v>370591.2</v>
      </c>
      <c r="O69" s="190">
        <v>6</v>
      </c>
      <c r="P69" s="189">
        <v>370585.2</v>
      </c>
    </row>
    <row r="70" spans="1:16" x14ac:dyDescent="0.2">
      <c r="A70" s="194" t="s">
        <v>901</v>
      </c>
      <c r="B70" s="193" t="s">
        <v>722</v>
      </c>
      <c r="C70" s="193" t="s">
        <v>900</v>
      </c>
      <c r="D70" s="193" t="s">
        <v>899</v>
      </c>
      <c r="E70" s="193" t="s">
        <v>239</v>
      </c>
      <c r="F70" s="192" t="s">
        <v>1038</v>
      </c>
      <c r="G70" s="191" t="s">
        <v>1036</v>
      </c>
      <c r="H70" s="190">
        <v>2018</v>
      </c>
      <c r="I70" s="190">
        <v>59.8</v>
      </c>
      <c r="J70" s="189">
        <v>164323.68</v>
      </c>
      <c r="K70" s="190">
        <v>0</v>
      </c>
      <c r="L70" s="189">
        <v>164323.68</v>
      </c>
      <c r="M70" s="190">
        <v>529.15</v>
      </c>
      <c r="N70" s="189">
        <v>163794.51999999999</v>
      </c>
      <c r="O70" s="190">
        <v>0</v>
      </c>
      <c r="P70" s="189">
        <v>163794.51999999999</v>
      </c>
    </row>
    <row r="71" spans="1:16" x14ac:dyDescent="0.2">
      <c r="A71" s="194" t="s">
        <v>898</v>
      </c>
      <c r="B71" s="193" t="s">
        <v>722</v>
      </c>
      <c r="C71" s="193" t="s">
        <v>897</v>
      </c>
      <c r="D71" s="193" t="s">
        <v>896</v>
      </c>
      <c r="E71" s="193" t="s">
        <v>128</v>
      </c>
      <c r="F71" s="191" t="s">
        <v>1042</v>
      </c>
      <c r="G71" s="191" t="s">
        <v>1036</v>
      </c>
      <c r="H71" s="190">
        <v>2018</v>
      </c>
      <c r="I71" s="190">
        <v>2</v>
      </c>
      <c r="J71" s="189">
        <v>29747.439999999999</v>
      </c>
      <c r="K71" s="189">
        <v>26817.73</v>
      </c>
      <c r="L71" s="189">
        <v>2929.71</v>
      </c>
      <c r="M71" s="189">
        <v>1901.06</v>
      </c>
      <c r="N71" s="189">
        <v>1028.6500000000001</v>
      </c>
      <c r="O71" s="189">
        <v>28718.79</v>
      </c>
      <c r="P71" s="190">
        <v>0</v>
      </c>
    </row>
    <row r="72" spans="1:16" x14ac:dyDescent="0.2">
      <c r="A72" s="194" t="s">
        <v>895</v>
      </c>
      <c r="B72" s="193" t="s">
        <v>722</v>
      </c>
      <c r="C72" s="193" t="s">
        <v>894</v>
      </c>
      <c r="D72" s="193" t="s">
        <v>1065</v>
      </c>
      <c r="E72" s="193" t="s">
        <v>725</v>
      </c>
      <c r="F72" s="192" t="s">
        <v>1037</v>
      </c>
      <c r="G72" s="191" t="s">
        <v>1036</v>
      </c>
      <c r="H72" s="190">
        <v>2018</v>
      </c>
      <c r="I72" s="190">
        <v>75</v>
      </c>
      <c r="J72" s="189">
        <v>175645.18</v>
      </c>
      <c r="K72" s="190">
        <v>0</v>
      </c>
      <c r="L72" s="189">
        <v>175645.18</v>
      </c>
      <c r="M72" s="189">
        <v>1123.27</v>
      </c>
      <c r="N72" s="189">
        <v>174521.91</v>
      </c>
      <c r="O72" s="190">
        <v>13.72</v>
      </c>
      <c r="P72" s="189">
        <v>174508.19</v>
      </c>
    </row>
    <row r="73" spans="1:16" x14ac:dyDescent="0.2">
      <c r="A73" s="194" t="s">
        <v>892</v>
      </c>
      <c r="B73" s="193" t="s">
        <v>722</v>
      </c>
      <c r="C73" s="193" t="s">
        <v>891</v>
      </c>
      <c r="D73" s="193" t="s">
        <v>890</v>
      </c>
      <c r="E73" s="193" t="s">
        <v>239</v>
      </c>
      <c r="F73" s="192" t="s">
        <v>1038</v>
      </c>
      <c r="G73" s="191" t="s">
        <v>1036</v>
      </c>
      <c r="H73" s="190">
        <v>2018</v>
      </c>
      <c r="I73" s="190">
        <v>133.86000000000001</v>
      </c>
      <c r="J73" s="189">
        <v>416304.23</v>
      </c>
      <c r="K73" s="190">
        <v>0</v>
      </c>
      <c r="L73" s="189">
        <v>416304.49</v>
      </c>
      <c r="M73" s="190">
        <v>0</v>
      </c>
      <c r="N73" s="189">
        <v>416304.49</v>
      </c>
      <c r="O73" s="190">
        <v>0</v>
      </c>
      <c r="P73" s="189">
        <v>416304.49</v>
      </c>
    </row>
    <row r="74" spans="1:16" x14ac:dyDescent="0.2">
      <c r="A74" s="194" t="s">
        <v>889</v>
      </c>
      <c r="B74" s="193" t="s">
        <v>722</v>
      </c>
      <c r="C74" s="193" t="s">
        <v>888</v>
      </c>
      <c r="D74" s="193" t="s">
        <v>887</v>
      </c>
      <c r="E74" s="193" t="s">
        <v>720</v>
      </c>
      <c r="F74" s="192" t="s">
        <v>1037</v>
      </c>
      <c r="G74" s="191" t="s">
        <v>1036</v>
      </c>
      <c r="H74" s="190">
        <v>2018</v>
      </c>
      <c r="I74" s="190">
        <v>100</v>
      </c>
      <c r="J74" s="189">
        <v>348742.72</v>
      </c>
      <c r="K74" s="189">
        <v>33324.67</v>
      </c>
      <c r="L74" s="189">
        <v>348742.72</v>
      </c>
      <c r="M74" s="189">
        <v>9061.51</v>
      </c>
      <c r="N74" s="189">
        <v>315418.05</v>
      </c>
      <c r="O74" s="189">
        <v>33324.67</v>
      </c>
      <c r="P74" s="189">
        <v>315418.05</v>
      </c>
    </row>
    <row r="75" spans="1:16" x14ac:dyDescent="0.2">
      <c r="A75" s="194" t="s">
        <v>886</v>
      </c>
      <c r="B75" s="193" t="s">
        <v>722</v>
      </c>
      <c r="C75" s="193" t="s">
        <v>885</v>
      </c>
      <c r="D75" s="193" t="s">
        <v>884</v>
      </c>
      <c r="E75" s="193" t="s">
        <v>754</v>
      </c>
      <c r="F75" s="192" t="s">
        <v>1037</v>
      </c>
      <c r="G75" s="191" t="s">
        <v>1036</v>
      </c>
      <c r="H75" s="190">
        <v>2018</v>
      </c>
      <c r="I75" s="190">
        <v>10</v>
      </c>
      <c r="J75" s="189">
        <v>43103.21</v>
      </c>
      <c r="K75" s="190">
        <v>0</v>
      </c>
      <c r="L75" s="189">
        <v>43103.21</v>
      </c>
      <c r="M75" s="190">
        <v>26.83</v>
      </c>
      <c r="N75" s="189">
        <v>42814.01</v>
      </c>
      <c r="O75" s="190">
        <v>26.83</v>
      </c>
      <c r="P75" s="189">
        <v>42814.01</v>
      </c>
    </row>
    <row r="76" spans="1:16" x14ac:dyDescent="0.2">
      <c r="A76" s="194" t="s">
        <v>883</v>
      </c>
      <c r="B76" s="193" t="s">
        <v>722</v>
      </c>
      <c r="C76" s="193" t="s">
        <v>882</v>
      </c>
      <c r="D76" s="193" t="s">
        <v>1064</v>
      </c>
      <c r="E76" s="193" t="s">
        <v>720</v>
      </c>
      <c r="F76" s="192" t="s">
        <v>1037</v>
      </c>
      <c r="G76" s="191" t="s">
        <v>1036</v>
      </c>
      <c r="H76" s="190">
        <v>2018</v>
      </c>
      <c r="I76" s="190">
        <v>50</v>
      </c>
      <c r="J76" s="189">
        <v>111959.79</v>
      </c>
      <c r="K76" s="189">
        <v>6141.48</v>
      </c>
      <c r="L76" s="189">
        <v>111959.79</v>
      </c>
      <c r="M76" s="189">
        <v>8348.31</v>
      </c>
      <c r="N76" s="189">
        <v>105818.31</v>
      </c>
      <c r="O76" s="189">
        <v>6141.48</v>
      </c>
      <c r="P76" s="189">
        <v>105818.31</v>
      </c>
    </row>
    <row r="77" spans="1:16" x14ac:dyDescent="0.2">
      <c r="A77" s="194" t="s">
        <v>880</v>
      </c>
      <c r="B77" s="193" t="s">
        <v>722</v>
      </c>
      <c r="C77" s="193" t="s">
        <v>879</v>
      </c>
      <c r="D77" s="193" t="s">
        <v>878</v>
      </c>
      <c r="E77" s="193" t="s">
        <v>239</v>
      </c>
      <c r="F77" s="192" t="s">
        <v>1040</v>
      </c>
      <c r="G77" s="191" t="s">
        <v>1036</v>
      </c>
      <c r="H77" s="190">
        <v>2018</v>
      </c>
      <c r="I77" s="190">
        <v>27</v>
      </c>
      <c r="J77" s="189">
        <v>73823.570000000007</v>
      </c>
      <c r="K77" s="190">
        <v>142.01</v>
      </c>
      <c r="L77" s="189">
        <v>73681.56</v>
      </c>
      <c r="M77" s="190">
        <v>142.01</v>
      </c>
      <c r="N77" s="189">
        <v>73823.570000000007</v>
      </c>
      <c r="O77" s="190">
        <v>142.01</v>
      </c>
      <c r="P77" s="189">
        <v>73823.570000000007</v>
      </c>
    </row>
    <row r="78" spans="1:16" x14ac:dyDescent="0.2">
      <c r="A78" s="194" t="s">
        <v>874</v>
      </c>
      <c r="B78" s="193" t="s">
        <v>722</v>
      </c>
      <c r="C78" s="193" t="s">
        <v>1063</v>
      </c>
      <c r="D78" s="193" t="s">
        <v>1063</v>
      </c>
      <c r="E78" s="193" t="s">
        <v>725</v>
      </c>
      <c r="F78" s="192" t="s">
        <v>1037</v>
      </c>
      <c r="G78" s="191" t="s">
        <v>1036</v>
      </c>
      <c r="H78" s="190">
        <v>2018</v>
      </c>
      <c r="I78" s="190">
        <v>10</v>
      </c>
      <c r="J78" s="189">
        <v>21753.75</v>
      </c>
      <c r="K78" s="190">
        <v>0</v>
      </c>
      <c r="L78" s="189">
        <v>21753.75</v>
      </c>
      <c r="M78" s="190">
        <v>75.31</v>
      </c>
      <c r="N78" s="189">
        <v>21753.75</v>
      </c>
      <c r="O78" s="190">
        <v>28.18</v>
      </c>
      <c r="P78" s="189">
        <v>21753.75</v>
      </c>
    </row>
    <row r="79" spans="1:16" x14ac:dyDescent="0.2">
      <c r="A79" s="196" t="s">
        <v>872</v>
      </c>
      <c r="B79" s="195" t="s">
        <v>722</v>
      </c>
      <c r="C79" s="193" t="s">
        <v>871</v>
      </c>
      <c r="D79" s="193" t="s">
        <v>870</v>
      </c>
      <c r="E79" s="193" t="s">
        <v>754</v>
      </c>
      <c r="F79" s="192" t="s">
        <v>1040</v>
      </c>
      <c r="G79" s="191" t="s">
        <v>1036</v>
      </c>
      <c r="H79" s="190">
        <v>2018</v>
      </c>
      <c r="I79" s="190">
        <v>2.42</v>
      </c>
      <c r="J79" s="190">
        <v>0</v>
      </c>
      <c r="K79" s="190">
        <v>14.09</v>
      </c>
      <c r="L79" s="190">
        <v>-14.09</v>
      </c>
      <c r="M79" s="189">
        <v>4536.0600000000004</v>
      </c>
      <c r="N79" s="190">
        <v>-14.09</v>
      </c>
      <c r="O79" s="190">
        <v>0</v>
      </c>
      <c r="P79" s="190">
        <v>0</v>
      </c>
    </row>
    <row r="80" spans="1:16" x14ac:dyDescent="0.2">
      <c r="A80" s="194" t="s">
        <v>869</v>
      </c>
      <c r="B80" s="193" t="s">
        <v>722</v>
      </c>
      <c r="C80" s="193" t="s">
        <v>868</v>
      </c>
      <c r="D80" s="193" t="s">
        <v>867</v>
      </c>
      <c r="E80" s="193" t="s">
        <v>239</v>
      </c>
      <c r="F80" s="192" t="s">
        <v>1037</v>
      </c>
      <c r="G80" s="191" t="s">
        <v>1036</v>
      </c>
      <c r="H80" s="190">
        <v>2018</v>
      </c>
      <c r="I80" s="190">
        <v>138.96</v>
      </c>
      <c r="J80" s="189">
        <v>467892.82</v>
      </c>
      <c r="K80" s="190">
        <v>0</v>
      </c>
      <c r="L80" s="189">
        <v>467892.82</v>
      </c>
      <c r="M80" s="190">
        <v>296.08999999999997</v>
      </c>
      <c r="N80" s="189">
        <v>453663.82</v>
      </c>
      <c r="O80" s="189">
        <v>14525.1</v>
      </c>
      <c r="P80" s="189">
        <v>453663.82</v>
      </c>
    </row>
    <row r="81" spans="1:16" x14ac:dyDescent="0.2">
      <c r="A81" s="194" t="s">
        <v>866</v>
      </c>
      <c r="B81" s="193" t="s">
        <v>722</v>
      </c>
      <c r="C81" s="193" t="s">
        <v>865</v>
      </c>
      <c r="D81" s="193" t="s">
        <v>1062</v>
      </c>
      <c r="E81" s="193" t="s">
        <v>239</v>
      </c>
      <c r="F81" s="192" t="s">
        <v>1037</v>
      </c>
      <c r="G81" s="191" t="s">
        <v>1036</v>
      </c>
      <c r="H81" s="190">
        <v>2018</v>
      </c>
      <c r="I81" s="190">
        <v>96.48</v>
      </c>
      <c r="J81" s="189">
        <v>294538.07</v>
      </c>
      <c r="K81" s="190">
        <v>0</v>
      </c>
      <c r="L81" s="189">
        <v>294538.07</v>
      </c>
      <c r="M81" s="190">
        <v>340.69</v>
      </c>
      <c r="N81" s="189">
        <v>285035.07</v>
      </c>
      <c r="O81" s="189">
        <v>9843.69</v>
      </c>
      <c r="P81" s="189">
        <v>285035.07</v>
      </c>
    </row>
    <row r="82" spans="1:16" x14ac:dyDescent="0.2">
      <c r="A82" s="194" t="s">
        <v>863</v>
      </c>
      <c r="B82" s="193" t="s">
        <v>722</v>
      </c>
      <c r="C82" s="193" t="s">
        <v>862</v>
      </c>
      <c r="D82" s="193" t="s">
        <v>861</v>
      </c>
      <c r="E82" s="193" t="s">
        <v>785</v>
      </c>
      <c r="F82" s="192" t="s">
        <v>1040</v>
      </c>
      <c r="G82" s="191" t="s">
        <v>1036</v>
      </c>
      <c r="H82" s="190">
        <v>2018</v>
      </c>
      <c r="I82" s="190">
        <v>4.25</v>
      </c>
      <c r="J82" s="189">
        <v>8721.81</v>
      </c>
      <c r="K82" s="190">
        <v>0</v>
      </c>
      <c r="L82" s="189">
        <v>8721.81</v>
      </c>
      <c r="M82" s="190">
        <v>456.8</v>
      </c>
      <c r="N82" s="189">
        <v>8290.43</v>
      </c>
      <c r="O82" s="190">
        <v>0</v>
      </c>
      <c r="P82" s="189">
        <v>8290.43</v>
      </c>
    </row>
    <row r="83" spans="1:16" x14ac:dyDescent="0.2">
      <c r="A83" s="194" t="s">
        <v>860</v>
      </c>
      <c r="B83" s="193" t="s">
        <v>722</v>
      </c>
      <c r="C83" s="193" t="s">
        <v>859</v>
      </c>
      <c r="D83" s="193" t="s">
        <v>858</v>
      </c>
      <c r="E83" s="193" t="s">
        <v>857</v>
      </c>
      <c r="F83" s="191" t="s">
        <v>1042</v>
      </c>
      <c r="G83" s="191" t="s">
        <v>1036</v>
      </c>
      <c r="H83" s="190">
        <v>2018</v>
      </c>
      <c r="I83" s="190">
        <v>75</v>
      </c>
      <c r="J83" s="189">
        <v>711588.58</v>
      </c>
      <c r="K83" s="190">
        <v>0</v>
      </c>
      <c r="L83" s="189">
        <v>711588.58</v>
      </c>
      <c r="M83" s="189">
        <v>52421.99</v>
      </c>
      <c r="N83" s="189">
        <v>764010.56</v>
      </c>
      <c r="O83" s="189">
        <v>720984.65</v>
      </c>
      <c r="P83" s="189">
        <v>43389.58</v>
      </c>
    </row>
    <row r="84" spans="1:16" x14ac:dyDescent="0.2">
      <c r="A84" s="194" t="s">
        <v>856</v>
      </c>
      <c r="B84" s="193" t="s">
        <v>722</v>
      </c>
      <c r="C84" s="193" t="s">
        <v>855</v>
      </c>
      <c r="D84" s="193" t="s">
        <v>854</v>
      </c>
      <c r="E84" s="193" t="s">
        <v>853</v>
      </c>
      <c r="F84" s="192" t="s">
        <v>1048</v>
      </c>
      <c r="G84" s="191" t="s">
        <v>1036</v>
      </c>
      <c r="H84" s="190">
        <v>2018</v>
      </c>
      <c r="I84" s="190">
        <v>5.0999999999999996</v>
      </c>
      <c r="J84" s="189">
        <v>9299.57</v>
      </c>
      <c r="K84" s="190">
        <v>0</v>
      </c>
      <c r="L84" s="189">
        <v>9299.57</v>
      </c>
      <c r="M84" s="189">
        <v>84662.88</v>
      </c>
      <c r="N84" s="190">
        <v>0</v>
      </c>
      <c r="O84" s="189">
        <v>93962.45</v>
      </c>
      <c r="P84" s="190">
        <v>0</v>
      </c>
    </row>
    <row r="85" spans="1:16" x14ac:dyDescent="0.2">
      <c r="A85" s="194" t="s">
        <v>852</v>
      </c>
      <c r="B85" s="193" t="s">
        <v>722</v>
      </c>
      <c r="C85" s="193" t="s">
        <v>851</v>
      </c>
      <c r="D85" s="193" t="s">
        <v>850</v>
      </c>
      <c r="E85" s="193" t="s">
        <v>725</v>
      </c>
      <c r="F85" s="192" t="s">
        <v>1037</v>
      </c>
      <c r="G85" s="191" t="s">
        <v>1036</v>
      </c>
      <c r="H85" s="190">
        <v>2018</v>
      </c>
      <c r="I85" s="190">
        <v>10</v>
      </c>
      <c r="J85" s="189">
        <v>20418.259999999998</v>
      </c>
      <c r="K85" s="190">
        <v>0</v>
      </c>
      <c r="L85" s="189">
        <v>20418.259999999998</v>
      </c>
      <c r="M85" s="190">
        <v>137.44999999999999</v>
      </c>
      <c r="N85" s="189">
        <v>20418.259999999998</v>
      </c>
      <c r="O85" s="190">
        <v>115.66</v>
      </c>
      <c r="P85" s="189">
        <v>20418.259999999998</v>
      </c>
    </row>
    <row r="86" spans="1:16" x14ac:dyDescent="0.2">
      <c r="A86" s="194" t="s">
        <v>849</v>
      </c>
      <c r="B86" s="193" t="s">
        <v>722</v>
      </c>
      <c r="C86" s="193" t="s">
        <v>848</v>
      </c>
      <c r="D86" s="193" t="s">
        <v>848</v>
      </c>
      <c r="E86" s="193" t="s">
        <v>725</v>
      </c>
      <c r="F86" s="192" t="s">
        <v>1037</v>
      </c>
      <c r="G86" s="191" t="s">
        <v>1036</v>
      </c>
      <c r="H86" s="190">
        <v>2018</v>
      </c>
      <c r="I86" s="190">
        <v>20</v>
      </c>
      <c r="J86" s="189">
        <v>41726.480000000003</v>
      </c>
      <c r="K86" s="190">
        <v>0</v>
      </c>
      <c r="L86" s="189">
        <v>41726.480000000003</v>
      </c>
      <c r="M86" s="190">
        <v>295.14999999999998</v>
      </c>
      <c r="N86" s="189">
        <v>41726.480000000003</v>
      </c>
      <c r="O86" s="190">
        <v>192.03</v>
      </c>
      <c r="P86" s="189">
        <v>41726.480000000003</v>
      </c>
    </row>
    <row r="87" spans="1:16" x14ac:dyDescent="0.2">
      <c r="A87" s="194" t="s">
        <v>847</v>
      </c>
      <c r="B87" s="193" t="s">
        <v>722</v>
      </c>
      <c r="C87" s="193" t="s">
        <v>846</v>
      </c>
      <c r="D87" s="193" t="s">
        <v>1061</v>
      </c>
      <c r="E87" s="193" t="s">
        <v>725</v>
      </c>
      <c r="F87" s="192" t="s">
        <v>1037</v>
      </c>
      <c r="G87" s="191" t="s">
        <v>1036</v>
      </c>
      <c r="H87" s="190">
        <v>2018</v>
      </c>
      <c r="I87" s="190">
        <v>75</v>
      </c>
      <c r="J87" s="189">
        <v>165473.07</v>
      </c>
      <c r="K87" s="190">
        <v>0</v>
      </c>
      <c r="L87" s="189">
        <v>165473.07</v>
      </c>
      <c r="M87" s="190">
        <v>717.32</v>
      </c>
      <c r="N87" s="189">
        <v>165473.07</v>
      </c>
      <c r="O87" s="190">
        <v>97.38</v>
      </c>
      <c r="P87" s="189">
        <v>165473.07</v>
      </c>
    </row>
    <row r="88" spans="1:16" x14ac:dyDescent="0.2">
      <c r="A88" s="194" t="s">
        <v>844</v>
      </c>
      <c r="B88" s="193" t="s">
        <v>756</v>
      </c>
      <c r="C88" s="193" t="s">
        <v>843</v>
      </c>
      <c r="D88" s="193" t="s">
        <v>842</v>
      </c>
      <c r="E88" s="193" t="s">
        <v>785</v>
      </c>
      <c r="F88" s="192" t="s">
        <v>1038</v>
      </c>
      <c r="G88" s="191" t="s">
        <v>1036</v>
      </c>
      <c r="H88" s="190">
        <v>2018</v>
      </c>
      <c r="I88" s="190">
        <v>40</v>
      </c>
      <c r="J88" s="190">
        <v>0</v>
      </c>
      <c r="K88" s="190">
        <v>0</v>
      </c>
      <c r="L88" s="190">
        <v>0</v>
      </c>
      <c r="M88" s="190">
        <v>0</v>
      </c>
      <c r="N88" s="190">
        <v>0</v>
      </c>
      <c r="O88" s="190">
        <v>0</v>
      </c>
      <c r="P88" s="190">
        <v>0</v>
      </c>
    </row>
    <row r="89" spans="1:16" x14ac:dyDescent="0.2">
      <c r="A89" s="194" t="s">
        <v>841</v>
      </c>
      <c r="B89" s="193" t="s">
        <v>722</v>
      </c>
      <c r="C89" s="193" t="s">
        <v>840</v>
      </c>
      <c r="D89" s="193" t="s">
        <v>839</v>
      </c>
      <c r="E89" s="193" t="s">
        <v>785</v>
      </c>
      <c r="F89" s="191" t="s">
        <v>1042</v>
      </c>
      <c r="G89" s="191" t="s">
        <v>1036</v>
      </c>
      <c r="H89" s="190">
        <v>2018</v>
      </c>
      <c r="I89" s="190">
        <v>13</v>
      </c>
      <c r="J89" s="190">
        <v>0</v>
      </c>
      <c r="K89" s="190">
        <v>0</v>
      </c>
      <c r="L89" s="190">
        <v>0</v>
      </c>
      <c r="M89" s="190">
        <v>0</v>
      </c>
      <c r="N89" s="190">
        <v>0</v>
      </c>
      <c r="O89" s="190">
        <v>0</v>
      </c>
      <c r="P89" s="190">
        <v>0</v>
      </c>
    </row>
    <row r="90" spans="1:16" x14ac:dyDescent="0.2">
      <c r="A90" s="194" t="s">
        <v>835</v>
      </c>
      <c r="B90" s="193" t="s">
        <v>722</v>
      </c>
      <c r="C90" s="193" t="s">
        <v>834</v>
      </c>
      <c r="D90" s="193" t="s">
        <v>833</v>
      </c>
      <c r="E90" s="193" t="s">
        <v>725</v>
      </c>
      <c r="F90" s="192" t="s">
        <v>1037</v>
      </c>
      <c r="G90" s="191" t="s">
        <v>1036</v>
      </c>
      <c r="H90" s="190">
        <v>2018</v>
      </c>
      <c r="I90" s="190">
        <v>64</v>
      </c>
      <c r="J90" s="189">
        <v>149862.69</v>
      </c>
      <c r="K90" s="189">
        <v>1222.57</v>
      </c>
      <c r="L90" s="189">
        <v>148640.12</v>
      </c>
      <c r="M90" s="190">
        <v>0</v>
      </c>
      <c r="N90" s="189">
        <v>148640.12</v>
      </c>
      <c r="O90" s="190">
        <v>0</v>
      </c>
      <c r="P90" s="189">
        <v>148640.12</v>
      </c>
    </row>
    <row r="91" spans="1:16" x14ac:dyDescent="0.2">
      <c r="A91" s="194" t="s">
        <v>832</v>
      </c>
      <c r="B91" s="193" t="s">
        <v>722</v>
      </c>
      <c r="C91" s="193" t="s">
        <v>831</v>
      </c>
      <c r="D91" s="193" t="s">
        <v>830</v>
      </c>
      <c r="E91" s="193" t="s">
        <v>785</v>
      </c>
      <c r="F91" s="192" t="s">
        <v>1048</v>
      </c>
      <c r="G91" s="191" t="s">
        <v>1036</v>
      </c>
      <c r="H91" s="190">
        <v>2018</v>
      </c>
      <c r="I91" s="190">
        <v>10.7</v>
      </c>
      <c r="J91" s="190">
        <v>0</v>
      </c>
      <c r="K91" s="190">
        <v>0</v>
      </c>
      <c r="L91" s="190">
        <v>0</v>
      </c>
      <c r="M91" s="190">
        <v>0</v>
      </c>
      <c r="N91" s="190">
        <v>0</v>
      </c>
      <c r="O91" s="190">
        <v>0</v>
      </c>
      <c r="P91" s="190">
        <v>0</v>
      </c>
    </row>
    <row r="92" spans="1:16" x14ac:dyDescent="0.2">
      <c r="A92" s="194" t="s">
        <v>829</v>
      </c>
      <c r="B92" s="193" t="s">
        <v>722</v>
      </c>
      <c r="C92" s="193" t="s">
        <v>828</v>
      </c>
      <c r="D92" s="193" t="s">
        <v>827</v>
      </c>
      <c r="E92" s="193" t="s">
        <v>725</v>
      </c>
      <c r="F92" s="192" t="s">
        <v>1049</v>
      </c>
      <c r="G92" s="191" t="s">
        <v>1036</v>
      </c>
      <c r="H92" s="190">
        <v>2018</v>
      </c>
      <c r="I92" s="190">
        <v>75</v>
      </c>
      <c r="J92" s="189">
        <v>144016.1</v>
      </c>
      <c r="K92" s="190">
        <v>0</v>
      </c>
      <c r="L92" s="189">
        <v>144016.1</v>
      </c>
      <c r="M92" s="189">
        <v>1083.2</v>
      </c>
      <c r="N92" s="189">
        <v>142932.91</v>
      </c>
      <c r="O92" s="190">
        <v>6</v>
      </c>
      <c r="P92" s="189">
        <v>142926.91</v>
      </c>
    </row>
    <row r="93" spans="1:16" x14ac:dyDescent="0.2">
      <c r="A93" s="194" t="s">
        <v>825</v>
      </c>
      <c r="B93" s="193" t="s">
        <v>722</v>
      </c>
      <c r="C93" s="193" t="s">
        <v>1060</v>
      </c>
      <c r="D93" s="193" t="s">
        <v>406</v>
      </c>
      <c r="E93" s="193" t="s">
        <v>744</v>
      </c>
      <c r="F93" s="192" t="s">
        <v>1048</v>
      </c>
      <c r="G93" s="191" t="s">
        <v>1036</v>
      </c>
      <c r="H93" s="190">
        <v>2018</v>
      </c>
      <c r="I93" s="190">
        <v>4</v>
      </c>
      <c r="J93" s="189">
        <v>82927.12</v>
      </c>
      <c r="K93" s="190">
        <v>0</v>
      </c>
      <c r="L93" s="189">
        <v>82927.12</v>
      </c>
      <c r="M93" s="189">
        <v>3888.66</v>
      </c>
      <c r="N93" s="189">
        <v>82927.12</v>
      </c>
      <c r="O93" s="189">
        <v>81273.58</v>
      </c>
      <c r="P93" s="189">
        <v>5542.2</v>
      </c>
    </row>
    <row r="94" spans="1:16" x14ac:dyDescent="0.2">
      <c r="A94" s="194" t="s">
        <v>825</v>
      </c>
      <c r="B94" s="193" t="s">
        <v>722</v>
      </c>
      <c r="C94" s="193" t="s">
        <v>1060</v>
      </c>
      <c r="D94" s="193" t="s">
        <v>1059</v>
      </c>
      <c r="E94" s="193" t="s">
        <v>744</v>
      </c>
      <c r="F94" s="192" t="s">
        <v>1048</v>
      </c>
      <c r="G94" s="191" t="s">
        <v>1036</v>
      </c>
      <c r="H94" s="190">
        <v>2018</v>
      </c>
      <c r="I94" s="190">
        <v>3.5</v>
      </c>
      <c r="J94" s="189">
        <v>98726.17</v>
      </c>
      <c r="K94" s="190">
        <v>0</v>
      </c>
      <c r="L94" s="189">
        <v>98726.17</v>
      </c>
      <c r="M94" s="189">
        <v>7485.56</v>
      </c>
      <c r="N94" s="189">
        <v>98005.11</v>
      </c>
      <c r="O94" s="189">
        <v>87505.31</v>
      </c>
      <c r="P94" s="189">
        <v>18706.419999999998</v>
      </c>
    </row>
    <row r="95" spans="1:16" x14ac:dyDescent="0.2">
      <c r="A95" s="194" t="s">
        <v>877</v>
      </c>
      <c r="B95" s="193" t="s">
        <v>722</v>
      </c>
      <c r="C95" s="193" t="s">
        <v>876</v>
      </c>
      <c r="D95" s="193" t="s">
        <v>1058</v>
      </c>
      <c r="E95" s="193" t="s">
        <v>239</v>
      </c>
      <c r="F95" s="192" t="s">
        <v>1038</v>
      </c>
      <c r="G95" s="191" t="s">
        <v>1036</v>
      </c>
      <c r="H95" s="190">
        <v>2018</v>
      </c>
      <c r="I95" s="190">
        <v>80</v>
      </c>
      <c r="J95" s="189">
        <v>264602.53999999998</v>
      </c>
      <c r="K95" s="190">
        <v>0</v>
      </c>
      <c r="L95" s="189">
        <v>264602.53999999998</v>
      </c>
      <c r="M95" s="190">
        <v>124.58</v>
      </c>
      <c r="N95" s="189">
        <v>264477.95</v>
      </c>
      <c r="O95" s="190">
        <v>0</v>
      </c>
      <c r="P95" s="189">
        <v>264477.95</v>
      </c>
    </row>
    <row r="96" spans="1:16" x14ac:dyDescent="0.2">
      <c r="A96" s="194" t="s">
        <v>822</v>
      </c>
      <c r="B96" s="193" t="s">
        <v>722</v>
      </c>
      <c r="C96" s="193" t="s">
        <v>821</v>
      </c>
      <c r="D96" s="193" t="s">
        <v>820</v>
      </c>
      <c r="E96" s="193" t="s">
        <v>725</v>
      </c>
      <c r="F96" s="192" t="s">
        <v>1037</v>
      </c>
      <c r="G96" s="191" t="s">
        <v>1036</v>
      </c>
      <c r="H96" s="190">
        <v>2018</v>
      </c>
      <c r="I96" s="190">
        <v>75</v>
      </c>
      <c r="J96" s="189">
        <v>183729.9</v>
      </c>
      <c r="K96" s="189">
        <v>2013.25</v>
      </c>
      <c r="L96" s="189">
        <v>181716.65</v>
      </c>
      <c r="M96" s="189">
        <v>2305.13</v>
      </c>
      <c r="N96" s="189">
        <v>179411.52</v>
      </c>
      <c r="O96" s="190">
        <v>168.92</v>
      </c>
      <c r="P96" s="189">
        <v>176956.14</v>
      </c>
    </row>
    <row r="97" spans="1:17" x14ac:dyDescent="0.2">
      <c r="A97" s="194" t="s">
        <v>819</v>
      </c>
      <c r="B97" s="193" t="s">
        <v>722</v>
      </c>
      <c r="C97" s="193" t="s">
        <v>818</v>
      </c>
      <c r="D97" s="193" t="s">
        <v>1057</v>
      </c>
      <c r="E97" s="193" t="s">
        <v>239</v>
      </c>
      <c r="F97" s="192" t="s">
        <v>1038</v>
      </c>
      <c r="G97" s="191" t="s">
        <v>1036</v>
      </c>
      <c r="H97" s="190">
        <v>2018</v>
      </c>
      <c r="I97" s="190">
        <v>138.6</v>
      </c>
      <c r="J97" s="189">
        <v>323614.55</v>
      </c>
      <c r="K97" s="190">
        <v>0</v>
      </c>
      <c r="L97" s="189">
        <v>323614.55</v>
      </c>
      <c r="M97" s="189">
        <v>1443.78</v>
      </c>
      <c r="N97" s="189">
        <v>323614.55</v>
      </c>
      <c r="O97" s="190">
        <v>0</v>
      </c>
      <c r="P97" s="189">
        <v>316114.06</v>
      </c>
    </row>
    <row r="98" spans="1:17" x14ac:dyDescent="0.2">
      <c r="A98" s="194" t="s">
        <v>816</v>
      </c>
      <c r="B98" s="193" t="s">
        <v>722</v>
      </c>
      <c r="C98" s="193" t="s">
        <v>1056</v>
      </c>
      <c r="D98" s="193" t="s">
        <v>814</v>
      </c>
      <c r="E98" s="193" t="s">
        <v>239</v>
      </c>
      <c r="F98" s="192" t="s">
        <v>1038</v>
      </c>
      <c r="G98" s="191" t="s">
        <v>1036</v>
      </c>
      <c r="H98" s="190">
        <v>2018</v>
      </c>
      <c r="I98" s="190">
        <v>27</v>
      </c>
      <c r="J98" s="189">
        <v>69913.09</v>
      </c>
      <c r="K98" s="190">
        <v>0</v>
      </c>
      <c r="L98" s="189">
        <v>69913.09</v>
      </c>
      <c r="M98" s="190">
        <v>97.68</v>
      </c>
      <c r="N98" s="189">
        <v>69913.09</v>
      </c>
      <c r="O98" s="190">
        <v>0</v>
      </c>
      <c r="P98" s="189">
        <v>69913.09</v>
      </c>
    </row>
    <row r="99" spans="1:17" x14ac:dyDescent="0.2">
      <c r="A99" s="194" t="s">
        <v>813</v>
      </c>
      <c r="B99" s="193" t="s">
        <v>722</v>
      </c>
      <c r="C99" s="193" t="s">
        <v>812</v>
      </c>
      <c r="D99" s="193" t="s">
        <v>812</v>
      </c>
      <c r="E99" s="193" t="s">
        <v>725</v>
      </c>
      <c r="F99" s="192" t="s">
        <v>1055</v>
      </c>
      <c r="G99" s="191" t="s">
        <v>1036</v>
      </c>
      <c r="H99" s="190">
        <v>2018</v>
      </c>
      <c r="I99" s="190">
        <v>7</v>
      </c>
      <c r="J99" s="189">
        <v>11897.79</v>
      </c>
      <c r="K99" s="190">
        <v>0</v>
      </c>
      <c r="L99" s="189">
        <v>11897.8</v>
      </c>
      <c r="M99" s="190">
        <v>0</v>
      </c>
      <c r="N99" s="189">
        <v>11897.8</v>
      </c>
      <c r="O99" s="190">
        <v>0</v>
      </c>
      <c r="P99" s="189">
        <v>11897.8</v>
      </c>
    </row>
    <row r="100" spans="1:17" x14ac:dyDescent="0.2">
      <c r="A100" s="194" t="s">
        <v>811</v>
      </c>
      <c r="B100" s="193" t="s">
        <v>722</v>
      </c>
      <c r="C100" s="193" t="s">
        <v>810</v>
      </c>
      <c r="D100" s="193" t="s">
        <v>809</v>
      </c>
      <c r="E100" s="193" t="s">
        <v>725</v>
      </c>
      <c r="F100" s="192" t="s">
        <v>1037</v>
      </c>
      <c r="G100" s="191" t="s">
        <v>1036</v>
      </c>
      <c r="H100" s="190">
        <v>2018</v>
      </c>
      <c r="I100" s="190">
        <v>48.5</v>
      </c>
      <c r="J100" s="189">
        <v>94719.039999999994</v>
      </c>
      <c r="K100" s="190">
        <v>0</v>
      </c>
      <c r="L100" s="189">
        <v>94430.67</v>
      </c>
      <c r="M100" s="190">
        <v>0</v>
      </c>
      <c r="N100" s="189">
        <v>94430.67</v>
      </c>
      <c r="O100" s="190">
        <v>0</v>
      </c>
      <c r="P100" s="189">
        <v>94430.67</v>
      </c>
    </row>
    <row r="101" spans="1:17" x14ac:dyDescent="0.2">
      <c r="A101" s="194" t="s">
        <v>808</v>
      </c>
      <c r="B101" s="193" t="s">
        <v>722</v>
      </c>
      <c r="C101" s="193" t="s">
        <v>807</v>
      </c>
      <c r="D101" s="193" t="s">
        <v>806</v>
      </c>
      <c r="E101" s="193" t="s">
        <v>725</v>
      </c>
      <c r="F101" s="192" t="s">
        <v>1037</v>
      </c>
      <c r="G101" s="191" t="s">
        <v>1036</v>
      </c>
      <c r="H101" s="190">
        <v>2018</v>
      </c>
      <c r="I101" s="190">
        <v>48.5</v>
      </c>
      <c r="J101" s="189">
        <v>91691.3</v>
      </c>
      <c r="K101" s="190">
        <v>0</v>
      </c>
      <c r="L101" s="189">
        <v>91691.3</v>
      </c>
      <c r="M101" s="190">
        <v>0</v>
      </c>
      <c r="N101" s="189">
        <v>91691.3</v>
      </c>
      <c r="O101" s="190">
        <v>0</v>
      </c>
      <c r="P101" s="189">
        <v>91691.3</v>
      </c>
    </row>
    <row r="102" spans="1:17" x14ac:dyDescent="0.2">
      <c r="A102" s="194" t="s">
        <v>805</v>
      </c>
      <c r="B102" s="193" t="s">
        <v>722</v>
      </c>
      <c r="C102" s="193" t="s">
        <v>804</v>
      </c>
      <c r="D102" s="193" t="s">
        <v>1054</v>
      </c>
      <c r="E102" s="193" t="s">
        <v>239</v>
      </c>
      <c r="F102" s="192" t="s">
        <v>1037</v>
      </c>
      <c r="G102" s="191" t="s">
        <v>1036</v>
      </c>
      <c r="H102" s="190">
        <v>2018</v>
      </c>
      <c r="I102" s="190">
        <v>138</v>
      </c>
      <c r="J102" s="189">
        <v>506322.28</v>
      </c>
      <c r="K102" s="190">
        <v>0</v>
      </c>
      <c r="L102" s="189">
        <v>506322.28</v>
      </c>
      <c r="M102" s="190">
        <v>828.02</v>
      </c>
      <c r="N102" s="189">
        <v>505494.26</v>
      </c>
      <c r="O102" s="190">
        <v>0</v>
      </c>
      <c r="P102" s="189">
        <v>505494.26</v>
      </c>
    </row>
    <row r="103" spans="1:17" x14ac:dyDescent="0.2">
      <c r="A103" s="194" t="s">
        <v>802</v>
      </c>
      <c r="B103" s="193" t="s">
        <v>722</v>
      </c>
      <c r="C103" s="193" t="s">
        <v>801</v>
      </c>
      <c r="D103" s="193" t="s">
        <v>1053</v>
      </c>
      <c r="E103" s="193" t="s">
        <v>239</v>
      </c>
      <c r="F103" s="192" t="s">
        <v>1037</v>
      </c>
      <c r="G103" s="191" t="s">
        <v>1036</v>
      </c>
      <c r="H103" s="190">
        <v>2018</v>
      </c>
      <c r="I103" s="190">
        <v>138.22999999999999</v>
      </c>
      <c r="J103" s="189">
        <v>469272.91</v>
      </c>
      <c r="K103" s="190">
        <v>0</v>
      </c>
      <c r="L103" s="189">
        <v>469272.91</v>
      </c>
      <c r="M103" s="190">
        <v>924.62</v>
      </c>
      <c r="N103" s="189">
        <v>468348.29</v>
      </c>
      <c r="O103" s="190">
        <v>0</v>
      </c>
      <c r="P103" s="189">
        <v>468348.29</v>
      </c>
    </row>
    <row r="104" spans="1:17" x14ac:dyDescent="0.2">
      <c r="A104" s="194" t="s">
        <v>799</v>
      </c>
      <c r="B104" s="193" t="s">
        <v>722</v>
      </c>
      <c r="C104" s="193" t="s">
        <v>798</v>
      </c>
      <c r="D104" s="193" t="s">
        <v>797</v>
      </c>
      <c r="E104" s="193" t="s">
        <v>239</v>
      </c>
      <c r="F104" s="192" t="s">
        <v>1037</v>
      </c>
      <c r="G104" s="191" t="s">
        <v>1036</v>
      </c>
      <c r="H104" s="190">
        <v>2018</v>
      </c>
      <c r="I104" s="190">
        <v>79.05</v>
      </c>
      <c r="J104" s="189">
        <v>283331.46000000002</v>
      </c>
      <c r="K104" s="190">
        <v>10.17</v>
      </c>
      <c r="L104" s="189">
        <v>283321.28999999998</v>
      </c>
      <c r="M104" s="190">
        <v>195.24</v>
      </c>
      <c r="N104" s="189">
        <v>283126.05</v>
      </c>
      <c r="O104" s="190">
        <v>0</v>
      </c>
      <c r="P104" s="189">
        <v>283126.05</v>
      </c>
    </row>
    <row r="105" spans="1:17" x14ac:dyDescent="0.2">
      <c r="A105" s="194" t="s">
        <v>795</v>
      </c>
      <c r="B105" s="193" t="s">
        <v>722</v>
      </c>
      <c r="C105" s="193" t="s">
        <v>794</v>
      </c>
      <c r="D105" s="193" t="s">
        <v>796</v>
      </c>
      <c r="E105" s="193" t="s">
        <v>792</v>
      </c>
      <c r="F105" s="191" t="s">
        <v>1042</v>
      </c>
      <c r="G105" s="191" t="s">
        <v>1036</v>
      </c>
      <c r="H105" s="190">
        <v>2018</v>
      </c>
      <c r="I105" s="190">
        <v>2</v>
      </c>
      <c r="J105" s="189">
        <v>188090.87</v>
      </c>
      <c r="K105" s="189">
        <v>1351.58</v>
      </c>
      <c r="L105" s="189">
        <v>186739.29</v>
      </c>
      <c r="M105" s="189">
        <v>328589.59000000003</v>
      </c>
      <c r="N105" s="190">
        <v>0</v>
      </c>
      <c r="O105" s="189">
        <v>516680.46</v>
      </c>
      <c r="P105" s="190">
        <v>0</v>
      </c>
    </row>
    <row r="106" spans="1:17" x14ac:dyDescent="0.2">
      <c r="A106" s="194" t="s">
        <v>795</v>
      </c>
      <c r="B106" s="193" t="s">
        <v>722</v>
      </c>
      <c r="C106" s="193" t="s">
        <v>794</v>
      </c>
      <c r="D106" s="193" t="s">
        <v>793</v>
      </c>
      <c r="E106" s="193" t="s">
        <v>792</v>
      </c>
      <c r="F106" s="192" t="s">
        <v>1048</v>
      </c>
      <c r="G106" s="191" t="s">
        <v>1036</v>
      </c>
      <c r="H106" s="190">
        <v>2018</v>
      </c>
      <c r="I106" s="190">
        <v>117</v>
      </c>
      <c r="J106" s="189">
        <v>833669.05</v>
      </c>
      <c r="K106" s="190">
        <v>0</v>
      </c>
      <c r="L106" s="189">
        <v>833669.05</v>
      </c>
      <c r="M106" s="189">
        <v>37309.5</v>
      </c>
      <c r="N106" s="189">
        <v>44546.239999999998</v>
      </c>
      <c r="O106" s="189">
        <v>826432.3</v>
      </c>
      <c r="P106" s="189">
        <v>44546.239999999998</v>
      </c>
    </row>
    <row r="107" spans="1:17" x14ac:dyDescent="0.2">
      <c r="A107" s="194" t="s">
        <v>788</v>
      </c>
      <c r="B107" s="193" t="s">
        <v>722</v>
      </c>
      <c r="C107" s="193" t="s">
        <v>787</v>
      </c>
      <c r="D107" s="193" t="s">
        <v>791</v>
      </c>
      <c r="E107" s="193" t="s">
        <v>140</v>
      </c>
      <c r="F107" s="192" t="s">
        <v>1049</v>
      </c>
      <c r="G107" s="191" t="s">
        <v>1036</v>
      </c>
      <c r="H107" s="190">
        <v>2018</v>
      </c>
      <c r="I107" s="190">
        <v>128</v>
      </c>
      <c r="J107" s="189">
        <v>648526.81999999995</v>
      </c>
      <c r="K107" s="190">
        <v>0</v>
      </c>
      <c r="L107" s="189">
        <v>648526.81999999995</v>
      </c>
      <c r="M107" s="190">
        <v>0</v>
      </c>
      <c r="N107" s="189">
        <v>648526.81999999995</v>
      </c>
      <c r="O107" s="189">
        <v>648526.81999999995</v>
      </c>
      <c r="P107" s="190">
        <v>0</v>
      </c>
      <c r="Q107" s="184">
        <f>N107/(I107*8760)</f>
        <v>0.57838079694634703</v>
      </c>
    </row>
    <row r="108" spans="1:17" x14ac:dyDescent="0.2">
      <c r="A108" s="194" t="s">
        <v>788</v>
      </c>
      <c r="B108" s="193" t="s">
        <v>722</v>
      </c>
      <c r="C108" s="193" t="s">
        <v>787</v>
      </c>
      <c r="D108" s="193" t="s">
        <v>790</v>
      </c>
      <c r="E108" s="193" t="s">
        <v>140</v>
      </c>
      <c r="F108" s="192" t="s">
        <v>1048</v>
      </c>
      <c r="G108" s="191" t="s">
        <v>1036</v>
      </c>
      <c r="H108" s="190">
        <v>2018</v>
      </c>
      <c r="I108" s="190">
        <v>600</v>
      </c>
      <c r="J108" s="189">
        <v>3629277.15</v>
      </c>
      <c r="K108" s="190">
        <v>0</v>
      </c>
      <c r="L108" s="189">
        <v>3629277.15</v>
      </c>
      <c r="M108" s="190">
        <v>0</v>
      </c>
      <c r="N108" s="189">
        <v>3629277.15</v>
      </c>
      <c r="O108" s="189">
        <v>3629277.15</v>
      </c>
      <c r="P108" s="190">
        <v>0</v>
      </c>
      <c r="Q108" s="184">
        <f>N108/(I108*8760)</f>
        <v>0.69050174086757987</v>
      </c>
    </row>
    <row r="109" spans="1:17" x14ac:dyDescent="0.2">
      <c r="A109" s="194" t="s">
        <v>788</v>
      </c>
      <c r="B109" s="193" t="s">
        <v>722</v>
      </c>
      <c r="C109" s="193" t="s">
        <v>787</v>
      </c>
      <c r="D109" s="193" t="s">
        <v>1052</v>
      </c>
      <c r="E109" s="193" t="s">
        <v>785</v>
      </c>
      <c r="F109" s="192" t="s">
        <v>1049</v>
      </c>
      <c r="G109" s="191" t="s">
        <v>1036</v>
      </c>
      <c r="H109" s="190">
        <v>2018</v>
      </c>
      <c r="I109" s="190">
        <v>175</v>
      </c>
      <c r="J109" s="189">
        <v>944996.1</v>
      </c>
      <c r="K109" s="189">
        <v>22225.8</v>
      </c>
      <c r="L109" s="189">
        <v>922770.3</v>
      </c>
      <c r="M109" s="190">
        <v>0</v>
      </c>
      <c r="N109" s="189">
        <v>922770.3</v>
      </c>
      <c r="O109" s="189">
        <v>922770.3</v>
      </c>
      <c r="P109" s="190">
        <v>0</v>
      </c>
      <c r="Q109" s="184">
        <f>N109/(I109*8760)</f>
        <v>0.60193757338551868</v>
      </c>
    </row>
    <row r="110" spans="1:17" x14ac:dyDescent="0.2">
      <c r="A110" s="194" t="s">
        <v>788</v>
      </c>
      <c r="B110" s="193" t="s">
        <v>722</v>
      </c>
      <c r="C110" s="193" t="s">
        <v>787</v>
      </c>
      <c r="D110" s="193" t="s">
        <v>786</v>
      </c>
      <c r="E110" s="193" t="s">
        <v>785</v>
      </c>
      <c r="F110" s="192" t="s">
        <v>1048</v>
      </c>
      <c r="G110" s="191" t="s">
        <v>1036</v>
      </c>
      <c r="H110" s="190">
        <v>2018</v>
      </c>
      <c r="I110" s="190">
        <v>252</v>
      </c>
      <c r="J110" s="189">
        <v>1725873.98</v>
      </c>
      <c r="K110" s="189">
        <v>20601.2</v>
      </c>
      <c r="L110" s="189">
        <v>1705272.78</v>
      </c>
      <c r="M110" s="190">
        <v>0</v>
      </c>
      <c r="N110" s="189">
        <v>1705272.78</v>
      </c>
      <c r="O110" s="189">
        <v>1705272.78</v>
      </c>
      <c r="P110" s="190">
        <v>0</v>
      </c>
      <c r="Q110" s="184">
        <f>N110/(I110*8760)</f>
        <v>0.77248350184822789</v>
      </c>
    </row>
    <row r="111" spans="1:17" x14ac:dyDescent="0.2">
      <c r="A111" s="194" t="s">
        <v>784</v>
      </c>
      <c r="B111" s="193" t="s">
        <v>722</v>
      </c>
      <c r="C111" s="193" t="s">
        <v>1051</v>
      </c>
      <c r="D111" s="193" t="s">
        <v>1050</v>
      </c>
      <c r="E111" s="193" t="s">
        <v>725</v>
      </c>
      <c r="F111" s="192" t="s">
        <v>1037</v>
      </c>
      <c r="G111" s="191" t="s">
        <v>1036</v>
      </c>
      <c r="H111" s="190">
        <v>2018</v>
      </c>
      <c r="I111" s="190">
        <v>75</v>
      </c>
      <c r="J111" s="189">
        <v>146605.71</v>
      </c>
      <c r="K111" s="190">
        <v>824.47</v>
      </c>
      <c r="L111" s="189">
        <v>145781.24</v>
      </c>
      <c r="M111" s="190">
        <v>898.47</v>
      </c>
      <c r="N111" s="189">
        <v>146605.71</v>
      </c>
      <c r="O111" s="190">
        <v>898.47</v>
      </c>
      <c r="P111" s="189">
        <v>146605.71</v>
      </c>
    </row>
    <row r="112" spans="1:17" x14ac:dyDescent="0.2">
      <c r="A112" s="194" t="s">
        <v>781</v>
      </c>
      <c r="B112" s="193" t="s">
        <v>722</v>
      </c>
      <c r="C112" s="193" t="s">
        <v>780</v>
      </c>
      <c r="D112" s="193" t="s">
        <v>779</v>
      </c>
      <c r="E112" s="193" t="s">
        <v>725</v>
      </c>
      <c r="F112" s="192" t="s">
        <v>1037</v>
      </c>
      <c r="G112" s="191" t="s">
        <v>1036</v>
      </c>
      <c r="H112" s="190">
        <v>2018</v>
      </c>
      <c r="I112" s="190">
        <v>10</v>
      </c>
      <c r="J112" s="189">
        <v>21483.49</v>
      </c>
      <c r="K112" s="190">
        <v>0</v>
      </c>
      <c r="L112" s="189">
        <v>21483.49</v>
      </c>
      <c r="M112" s="190">
        <v>79.31</v>
      </c>
      <c r="N112" s="189">
        <v>21483.49</v>
      </c>
      <c r="O112" s="190">
        <v>24.55</v>
      </c>
      <c r="P112" s="189">
        <v>21483.49</v>
      </c>
    </row>
    <row r="113" spans="1:16" x14ac:dyDescent="0.2">
      <c r="A113" s="194" t="s">
        <v>778</v>
      </c>
      <c r="B113" s="193" t="s">
        <v>722</v>
      </c>
      <c r="C113" s="193" t="s">
        <v>777</v>
      </c>
      <c r="D113" s="193" t="s">
        <v>776</v>
      </c>
      <c r="E113" s="193" t="s">
        <v>725</v>
      </c>
      <c r="F113" s="192" t="s">
        <v>1037</v>
      </c>
      <c r="G113" s="191" t="s">
        <v>1036</v>
      </c>
      <c r="H113" s="190">
        <v>2018</v>
      </c>
      <c r="I113" s="190">
        <v>36.799999999999997</v>
      </c>
      <c r="J113" s="189">
        <v>88364.77</v>
      </c>
      <c r="K113" s="190">
        <v>898.95</v>
      </c>
      <c r="L113" s="189">
        <v>87465.82</v>
      </c>
      <c r="M113" s="190">
        <v>326.31</v>
      </c>
      <c r="N113" s="189">
        <v>88364.77</v>
      </c>
      <c r="O113" s="190">
        <v>326.31</v>
      </c>
      <c r="P113" s="189">
        <v>88364.77</v>
      </c>
    </row>
    <row r="114" spans="1:16" x14ac:dyDescent="0.2">
      <c r="A114" s="194" t="s">
        <v>775</v>
      </c>
      <c r="B114" s="193" t="s">
        <v>722</v>
      </c>
      <c r="C114" s="193" t="s">
        <v>774</v>
      </c>
      <c r="D114" s="193" t="s">
        <v>773</v>
      </c>
      <c r="E114" s="193" t="s">
        <v>725</v>
      </c>
      <c r="F114" s="192" t="s">
        <v>1037</v>
      </c>
      <c r="G114" s="191" t="s">
        <v>1036</v>
      </c>
      <c r="H114" s="190">
        <v>2018</v>
      </c>
      <c r="I114" s="190">
        <v>69.599999999999994</v>
      </c>
      <c r="J114" s="189">
        <v>158012.78</v>
      </c>
      <c r="K114" s="190">
        <v>66.44</v>
      </c>
      <c r="L114" s="189">
        <v>157946.35</v>
      </c>
      <c r="M114" s="190">
        <v>577.61</v>
      </c>
      <c r="N114" s="189">
        <v>158012.78</v>
      </c>
      <c r="O114" s="190">
        <v>577.61</v>
      </c>
      <c r="P114" s="189">
        <v>158012.78</v>
      </c>
    </row>
    <row r="115" spans="1:16" x14ac:dyDescent="0.2">
      <c r="A115" s="194" t="s">
        <v>772</v>
      </c>
      <c r="B115" s="193" t="s">
        <v>722</v>
      </c>
      <c r="C115" s="193" t="s">
        <v>771</v>
      </c>
      <c r="D115" s="193" t="s">
        <v>770</v>
      </c>
      <c r="E115" s="193" t="s">
        <v>725</v>
      </c>
      <c r="F115" s="192" t="s">
        <v>1038</v>
      </c>
      <c r="G115" s="191" t="s">
        <v>1036</v>
      </c>
      <c r="H115" s="190">
        <v>2018</v>
      </c>
      <c r="I115" s="190">
        <v>5</v>
      </c>
      <c r="J115" s="189">
        <v>10161.59</v>
      </c>
      <c r="K115" s="190">
        <v>0</v>
      </c>
      <c r="L115" s="189">
        <v>10161.59</v>
      </c>
      <c r="M115" s="190">
        <v>36.229999999999997</v>
      </c>
      <c r="N115" s="189">
        <v>10161.59</v>
      </c>
      <c r="O115" s="190">
        <v>36.229999999999997</v>
      </c>
      <c r="P115" s="189">
        <v>10161.59</v>
      </c>
    </row>
    <row r="116" spans="1:16" x14ac:dyDescent="0.2">
      <c r="A116" s="194" t="s">
        <v>769</v>
      </c>
      <c r="B116" s="193" t="s">
        <v>722</v>
      </c>
      <c r="C116" s="193" t="s">
        <v>768</v>
      </c>
      <c r="D116" s="193" t="s">
        <v>767</v>
      </c>
      <c r="E116" s="193" t="s">
        <v>725</v>
      </c>
      <c r="F116" s="192" t="s">
        <v>1037</v>
      </c>
      <c r="G116" s="191" t="s">
        <v>1036</v>
      </c>
      <c r="H116" s="190">
        <v>2018</v>
      </c>
      <c r="I116" s="190">
        <v>75</v>
      </c>
      <c r="J116" s="189">
        <v>152234.95000000001</v>
      </c>
      <c r="K116" s="190">
        <v>0</v>
      </c>
      <c r="L116" s="189">
        <v>152234.95000000001</v>
      </c>
      <c r="M116" s="190">
        <v>0</v>
      </c>
      <c r="N116" s="189">
        <v>152234.95000000001</v>
      </c>
      <c r="O116" s="190">
        <v>0</v>
      </c>
      <c r="P116" s="189">
        <v>152234.95000000001</v>
      </c>
    </row>
    <row r="117" spans="1:16" x14ac:dyDescent="0.2">
      <c r="A117" s="194" t="s">
        <v>766</v>
      </c>
      <c r="B117" s="193" t="s">
        <v>722</v>
      </c>
      <c r="C117" s="193" t="s">
        <v>765</v>
      </c>
      <c r="D117" s="193" t="s">
        <v>764</v>
      </c>
      <c r="E117" s="193" t="s">
        <v>725</v>
      </c>
      <c r="F117" s="192" t="s">
        <v>1037</v>
      </c>
      <c r="G117" s="191" t="s">
        <v>1036</v>
      </c>
      <c r="H117" s="190">
        <v>2018</v>
      </c>
      <c r="I117" s="190">
        <v>75</v>
      </c>
      <c r="J117" s="189">
        <v>152234.95000000001</v>
      </c>
      <c r="K117" s="190">
        <v>0</v>
      </c>
      <c r="L117" s="189">
        <v>152234.95000000001</v>
      </c>
      <c r="M117" s="190">
        <v>0</v>
      </c>
      <c r="N117" s="189">
        <v>152234.95000000001</v>
      </c>
      <c r="O117" s="190">
        <v>0</v>
      </c>
      <c r="P117" s="189">
        <v>152234.95000000001</v>
      </c>
    </row>
    <row r="118" spans="1:16" x14ac:dyDescent="0.2">
      <c r="A118" s="194" t="s">
        <v>763</v>
      </c>
      <c r="B118" s="193" t="s">
        <v>722</v>
      </c>
      <c r="C118" s="193" t="s">
        <v>762</v>
      </c>
      <c r="D118" s="193" t="s">
        <v>762</v>
      </c>
      <c r="E118" s="193" t="s">
        <v>754</v>
      </c>
      <c r="F118" s="192" t="s">
        <v>1049</v>
      </c>
      <c r="G118" s="191" t="s">
        <v>1036</v>
      </c>
      <c r="H118" s="190">
        <v>2018</v>
      </c>
      <c r="I118" s="190">
        <v>4.3099999999999996</v>
      </c>
      <c r="J118" s="189">
        <v>31698.2</v>
      </c>
      <c r="K118" s="190">
        <v>0</v>
      </c>
      <c r="L118" s="189">
        <v>31698.2</v>
      </c>
      <c r="M118" s="190">
        <v>132.18</v>
      </c>
      <c r="N118" s="189">
        <v>31566.02</v>
      </c>
      <c r="O118" s="190">
        <v>6</v>
      </c>
      <c r="P118" s="189">
        <v>31560.02</v>
      </c>
    </row>
    <row r="119" spans="1:16" x14ac:dyDescent="0.2">
      <c r="A119" s="194" t="s">
        <v>761</v>
      </c>
      <c r="B119" s="193" t="s">
        <v>722</v>
      </c>
      <c r="C119" s="193" t="s">
        <v>760</v>
      </c>
      <c r="D119" s="193" t="s">
        <v>759</v>
      </c>
      <c r="E119" s="193" t="s">
        <v>725</v>
      </c>
      <c r="F119" s="192" t="s">
        <v>1037</v>
      </c>
      <c r="G119" s="191" t="s">
        <v>1036</v>
      </c>
      <c r="H119" s="190">
        <v>2018</v>
      </c>
      <c r="I119" s="190">
        <v>8.9</v>
      </c>
      <c r="J119" s="189">
        <v>18827.2</v>
      </c>
      <c r="K119" s="190">
        <v>0</v>
      </c>
      <c r="L119" s="189">
        <v>18827.2</v>
      </c>
      <c r="M119" s="190">
        <v>117.22</v>
      </c>
      <c r="N119" s="189">
        <v>18709.98</v>
      </c>
      <c r="O119" s="190">
        <v>0</v>
      </c>
      <c r="P119" s="189">
        <v>18709.98</v>
      </c>
    </row>
    <row r="120" spans="1:16" x14ac:dyDescent="0.2">
      <c r="A120" s="194" t="s">
        <v>758</v>
      </c>
      <c r="B120" s="193" t="s">
        <v>756</v>
      </c>
      <c r="C120" s="193" t="s">
        <v>757</v>
      </c>
      <c r="D120" s="193" t="s">
        <v>755</v>
      </c>
      <c r="E120" s="193" t="s">
        <v>754</v>
      </c>
      <c r="F120" s="192" t="s">
        <v>1048</v>
      </c>
      <c r="G120" s="191" t="s">
        <v>1036</v>
      </c>
      <c r="H120" s="190">
        <v>2018</v>
      </c>
      <c r="I120" s="190">
        <v>3.35</v>
      </c>
      <c r="J120" s="190">
        <v>0</v>
      </c>
      <c r="K120" s="190">
        <v>0</v>
      </c>
      <c r="L120" s="190">
        <v>0</v>
      </c>
      <c r="M120" s="190">
        <v>0</v>
      </c>
      <c r="N120" s="190">
        <v>0</v>
      </c>
      <c r="O120" s="190">
        <v>0</v>
      </c>
      <c r="P120" s="190">
        <v>0</v>
      </c>
    </row>
    <row r="121" spans="1:16" x14ac:dyDescent="0.2">
      <c r="A121" s="194" t="s">
        <v>753</v>
      </c>
      <c r="B121" s="193" t="s">
        <v>722</v>
      </c>
      <c r="C121" s="193" t="s">
        <v>752</v>
      </c>
      <c r="D121" s="193" t="s">
        <v>751</v>
      </c>
      <c r="E121" s="193" t="s">
        <v>725</v>
      </c>
      <c r="F121" s="192" t="s">
        <v>1047</v>
      </c>
      <c r="G121" s="191" t="s">
        <v>1036</v>
      </c>
      <c r="H121" s="190">
        <v>2018</v>
      </c>
      <c r="I121" s="190">
        <v>60</v>
      </c>
      <c r="J121" s="189">
        <v>113944.17</v>
      </c>
      <c r="K121" s="190">
        <v>0</v>
      </c>
      <c r="L121" s="189">
        <v>113944.17</v>
      </c>
      <c r="M121" s="189">
        <v>1005.16</v>
      </c>
      <c r="N121" s="189">
        <v>112939.01</v>
      </c>
      <c r="O121" s="190">
        <v>0</v>
      </c>
      <c r="P121" s="189">
        <v>112939.01</v>
      </c>
    </row>
    <row r="122" spans="1:16" x14ac:dyDescent="0.2">
      <c r="A122" s="194" t="s">
        <v>747</v>
      </c>
      <c r="B122" s="193" t="s">
        <v>722</v>
      </c>
      <c r="C122" s="193" t="s">
        <v>746</v>
      </c>
      <c r="D122" s="193" t="s">
        <v>1046</v>
      </c>
      <c r="E122" s="193" t="s">
        <v>744</v>
      </c>
      <c r="F122" s="191" t="s">
        <v>1042</v>
      </c>
      <c r="G122" s="191" t="s">
        <v>1036</v>
      </c>
      <c r="H122" s="190">
        <v>2018</v>
      </c>
      <c r="I122" s="190">
        <v>12</v>
      </c>
      <c r="J122" s="189">
        <v>31290</v>
      </c>
      <c r="K122" s="190">
        <v>0</v>
      </c>
      <c r="L122" s="189">
        <v>31290</v>
      </c>
      <c r="M122" s="189">
        <v>7839.94</v>
      </c>
      <c r="N122" s="190">
        <v>0</v>
      </c>
      <c r="O122" s="189">
        <v>37023.1</v>
      </c>
      <c r="P122" s="189">
        <v>2106.85</v>
      </c>
    </row>
    <row r="123" spans="1:16" x14ac:dyDescent="0.2">
      <c r="A123" s="194" t="s">
        <v>747</v>
      </c>
      <c r="B123" s="193" t="s">
        <v>722</v>
      </c>
      <c r="C123" s="193" t="s">
        <v>746</v>
      </c>
      <c r="D123" s="193" t="s">
        <v>1045</v>
      </c>
      <c r="E123" s="193" t="s">
        <v>744</v>
      </c>
      <c r="F123" s="191" t="s">
        <v>1042</v>
      </c>
      <c r="G123" s="191" t="s">
        <v>1036</v>
      </c>
      <c r="H123" s="190">
        <v>2018</v>
      </c>
      <c r="I123" s="190">
        <v>12</v>
      </c>
      <c r="J123" s="189">
        <v>19280</v>
      </c>
      <c r="K123" s="190">
        <v>0</v>
      </c>
      <c r="L123" s="189">
        <v>19280</v>
      </c>
      <c r="M123" s="189">
        <v>4689.32</v>
      </c>
      <c r="N123" s="190">
        <v>0</v>
      </c>
      <c r="O123" s="189">
        <v>23969.32</v>
      </c>
      <c r="P123" s="190">
        <v>0</v>
      </c>
    </row>
    <row r="124" spans="1:16" x14ac:dyDescent="0.2">
      <c r="A124" s="194" t="s">
        <v>747</v>
      </c>
      <c r="B124" s="193" t="s">
        <v>722</v>
      </c>
      <c r="C124" s="193" t="s">
        <v>746</v>
      </c>
      <c r="D124" s="193" t="s">
        <v>1044</v>
      </c>
      <c r="E124" s="193" t="s">
        <v>744</v>
      </c>
      <c r="F124" s="191" t="s">
        <v>1042</v>
      </c>
      <c r="G124" s="191" t="s">
        <v>1036</v>
      </c>
      <c r="H124" s="190">
        <v>2018</v>
      </c>
      <c r="I124" s="190">
        <v>32</v>
      </c>
      <c r="J124" s="189">
        <v>86900</v>
      </c>
      <c r="K124" s="190">
        <v>0</v>
      </c>
      <c r="L124" s="189">
        <v>86900</v>
      </c>
      <c r="M124" s="189">
        <v>6265.43</v>
      </c>
      <c r="N124" s="190">
        <v>0</v>
      </c>
      <c r="O124" s="189">
        <v>69981.52</v>
      </c>
      <c r="P124" s="189">
        <v>23183.91</v>
      </c>
    </row>
    <row r="125" spans="1:16" x14ac:dyDescent="0.2">
      <c r="A125" s="194" t="s">
        <v>747</v>
      </c>
      <c r="B125" s="193" t="s">
        <v>722</v>
      </c>
      <c r="C125" s="193" t="s">
        <v>746</v>
      </c>
      <c r="D125" s="193" t="s">
        <v>1043</v>
      </c>
      <c r="E125" s="193" t="s">
        <v>744</v>
      </c>
      <c r="F125" s="191" t="s">
        <v>1042</v>
      </c>
      <c r="G125" s="191" t="s">
        <v>1036</v>
      </c>
      <c r="H125" s="190">
        <v>2018</v>
      </c>
      <c r="I125" s="190">
        <v>22.5</v>
      </c>
      <c r="J125" s="189">
        <v>34100.92</v>
      </c>
      <c r="K125" s="190">
        <v>0</v>
      </c>
      <c r="L125" s="189">
        <v>34100.92</v>
      </c>
      <c r="M125" s="189">
        <v>10237.030000000001</v>
      </c>
      <c r="N125" s="190">
        <v>0</v>
      </c>
      <c r="O125" s="189">
        <v>41364.949999999997</v>
      </c>
      <c r="P125" s="189">
        <v>2973</v>
      </c>
    </row>
    <row r="126" spans="1:16" x14ac:dyDescent="0.2">
      <c r="A126" s="194" t="s">
        <v>743</v>
      </c>
      <c r="B126" s="193" t="s">
        <v>722</v>
      </c>
      <c r="C126" s="193" t="s">
        <v>742</v>
      </c>
      <c r="D126" s="193" t="s">
        <v>741</v>
      </c>
      <c r="E126" s="193" t="s">
        <v>239</v>
      </c>
      <c r="F126" s="192" t="s">
        <v>1038</v>
      </c>
      <c r="G126" s="191" t="s">
        <v>1036</v>
      </c>
      <c r="H126" s="190">
        <v>2018</v>
      </c>
      <c r="I126" s="190">
        <v>94.8</v>
      </c>
      <c r="J126" s="189">
        <v>320922.76</v>
      </c>
      <c r="K126" s="190">
        <v>0</v>
      </c>
      <c r="L126" s="189">
        <v>320922.76</v>
      </c>
      <c r="M126" s="190">
        <v>655.86</v>
      </c>
      <c r="N126" s="189">
        <v>320266.90000000002</v>
      </c>
      <c r="O126" s="190">
        <v>655.19000000000005</v>
      </c>
      <c r="P126" s="189">
        <v>317489.24</v>
      </c>
    </row>
    <row r="127" spans="1:16" x14ac:dyDescent="0.2">
      <c r="A127" s="194" t="s">
        <v>740</v>
      </c>
      <c r="B127" s="193" t="s">
        <v>722</v>
      </c>
      <c r="C127" s="193" t="s">
        <v>739</v>
      </c>
      <c r="D127" s="193" t="s">
        <v>738</v>
      </c>
      <c r="E127" s="193" t="s">
        <v>128</v>
      </c>
      <c r="F127" s="191" t="s">
        <v>1042</v>
      </c>
      <c r="G127" s="191" t="s">
        <v>1036</v>
      </c>
      <c r="H127" s="190">
        <v>2018</v>
      </c>
      <c r="I127" s="190">
        <v>5</v>
      </c>
      <c r="J127" s="189">
        <v>53811.21</v>
      </c>
      <c r="K127" s="190">
        <v>0</v>
      </c>
      <c r="L127" s="189">
        <v>53811.21</v>
      </c>
      <c r="M127" s="189">
        <v>2675.43</v>
      </c>
      <c r="N127" s="190">
        <v>0</v>
      </c>
      <c r="O127" s="189">
        <v>47771.47</v>
      </c>
      <c r="P127" s="189">
        <v>8715.17</v>
      </c>
    </row>
    <row r="128" spans="1:16" x14ac:dyDescent="0.2">
      <c r="A128" s="194" t="s">
        <v>737</v>
      </c>
      <c r="B128" s="193" t="s">
        <v>722</v>
      </c>
      <c r="C128" s="193" t="s">
        <v>736</v>
      </c>
      <c r="D128" s="193" t="s">
        <v>1041</v>
      </c>
      <c r="E128" s="193" t="s">
        <v>239</v>
      </c>
      <c r="F128" s="192" t="s">
        <v>1040</v>
      </c>
      <c r="G128" s="191" t="s">
        <v>1036</v>
      </c>
      <c r="H128" s="190">
        <v>2018</v>
      </c>
      <c r="I128" s="190">
        <v>65.400000000000006</v>
      </c>
      <c r="J128" s="189">
        <v>171040.85</v>
      </c>
      <c r="K128" s="190">
        <v>0</v>
      </c>
      <c r="L128" s="189">
        <v>171040.85</v>
      </c>
      <c r="M128" s="190">
        <v>607.94000000000005</v>
      </c>
      <c r="N128" s="189">
        <v>171040.85</v>
      </c>
      <c r="O128" s="190">
        <v>72</v>
      </c>
      <c r="P128" s="189">
        <v>168900.45</v>
      </c>
    </row>
    <row r="129" spans="1:16" x14ac:dyDescent="0.2">
      <c r="A129" s="194" t="s">
        <v>734</v>
      </c>
      <c r="B129" s="193" t="s">
        <v>722</v>
      </c>
      <c r="C129" s="193" t="s">
        <v>733</v>
      </c>
      <c r="D129" s="193" t="s">
        <v>732</v>
      </c>
      <c r="E129" s="193" t="s">
        <v>725</v>
      </c>
      <c r="F129" s="192" t="s">
        <v>1040</v>
      </c>
      <c r="G129" s="191" t="s">
        <v>1036</v>
      </c>
      <c r="H129" s="190">
        <v>2018</v>
      </c>
      <c r="I129" s="190">
        <v>8.82</v>
      </c>
      <c r="J129" s="189">
        <v>18709.2</v>
      </c>
      <c r="K129" s="190">
        <v>97.21</v>
      </c>
      <c r="L129" s="189">
        <v>18806.41</v>
      </c>
      <c r="M129" s="190">
        <v>0</v>
      </c>
      <c r="N129" s="189">
        <v>18709.2</v>
      </c>
      <c r="O129" s="190">
        <v>0</v>
      </c>
      <c r="P129" s="189">
        <v>18709.2</v>
      </c>
    </row>
    <row r="130" spans="1:16" x14ac:dyDescent="0.2">
      <c r="A130" s="194" t="s">
        <v>731</v>
      </c>
      <c r="B130" s="193" t="s">
        <v>722</v>
      </c>
      <c r="C130" s="193" t="s">
        <v>730</v>
      </c>
      <c r="D130" s="193" t="s">
        <v>1039</v>
      </c>
      <c r="E130" s="193" t="s">
        <v>239</v>
      </c>
      <c r="F130" s="192" t="s">
        <v>1038</v>
      </c>
      <c r="G130" s="191" t="s">
        <v>1036</v>
      </c>
      <c r="H130" s="190">
        <v>2018</v>
      </c>
      <c r="I130" s="190">
        <v>23.4</v>
      </c>
      <c r="J130" s="189">
        <v>92581.04</v>
      </c>
      <c r="K130" s="190">
        <v>0</v>
      </c>
      <c r="L130" s="189">
        <v>92581.04</v>
      </c>
      <c r="M130" s="190">
        <v>103.1</v>
      </c>
      <c r="N130" s="189">
        <v>92477.95</v>
      </c>
      <c r="O130" s="190">
        <v>0</v>
      </c>
      <c r="P130" s="189">
        <v>92477.95</v>
      </c>
    </row>
    <row r="131" spans="1:16" x14ac:dyDescent="0.2">
      <c r="A131" s="194" t="s">
        <v>728</v>
      </c>
      <c r="B131" s="193" t="s">
        <v>722</v>
      </c>
      <c r="C131" s="193" t="s">
        <v>727</v>
      </c>
      <c r="D131" s="193" t="s">
        <v>726</v>
      </c>
      <c r="E131" s="193" t="s">
        <v>725</v>
      </c>
      <c r="F131" s="192" t="s">
        <v>1037</v>
      </c>
      <c r="G131" s="191" t="s">
        <v>1036</v>
      </c>
      <c r="H131" s="190">
        <v>2018</v>
      </c>
      <c r="I131" s="190">
        <v>74</v>
      </c>
      <c r="J131" s="189">
        <v>205329.77</v>
      </c>
      <c r="K131" s="190">
        <v>0</v>
      </c>
      <c r="L131" s="189">
        <v>205329.77</v>
      </c>
      <c r="M131" s="189">
        <v>1374.3</v>
      </c>
      <c r="N131" s="189">
        <v>205329.77</v>
      </c>
      <c r="O131" s="189">
        <v>1374.3</v>
      </c>
      <c r="P131" s="189">
        <v>205329.77</v>
      </c>
    </row>
    <row r="132" spans="1:16" x14ac:dyDescent="0.2">
      <c r="A132" s="194" t="s">
        <v>724</v>
      </c>
      <c r="B132" s="193" t="s">
        <v>722</v>
      </c>
      <c r="C132" s="193" t="s">
        <v>723</v>
      </c>
      <c r="D132" s="193" t="s">
        <v>721</v>
      </c>
      <c r="E132" s="193" t="s">
        <v>720</v>
      </c>
      <c r="F132" s="192" t="s">
        <v>1037</v>
      </c>
      <c r="G132" s="191" t="s">
        <v>1036</v>
      </c>
      <c r="H132" s="190">
        <v>2018</v>
      </c>
      <c r="I132" s="190">
        <v>100</v>
      </c>
      <c r="J132" s="189">
        <v>417924.36</v>
      </c>
      <c r="K132" s="189">
        <v>44146.02</v>
      </c>
      <c r="L132" s="189">
        <v>417924.36</v>
      </c>
      <c r="M132" s="189">
        <v>8606.0300000000007</v>
      </c>
      <c r="N132" s="189">
        <v>373778.34</v>
      </c>
      <c r="O132" s="189">
        <v>44146.02</v>
      </c>
      <c r="P132" s="189">
        <v>373778.34</v>
      </c>
    </row>
    <row r="133" spans="1:16" ht="15" customHeight="1" x14ac:dyDescent="0.2">
      <c r="K133" s="182">
        <f>K109/J109</f>
        <v>2.3519462143812023E-2</v>
      </c>
    </row>
    <row r="134" spans="1:16" ht="15" customHeight="1" x14ac:dyDescent="0.2">
      <c r="K134" s="182">
        <f>K110/J110</f>
        <v>1.193667685980178E-2</v>
      </c>
    </row>
    <row r="135" spans="1:16" ht="15.75" x14ac:dyDescent="0.25">
      <c r="J135" s="186" t="s">
        <v>1035</v>
      </c>
      <c r="K135" s="186" t="s">
        <v>1034</v>
      </c>
      <c r="L135" s="186" t="s">
        <v>154</v>
      </c>
      <c r="M135" s="182" t="s">
        <v>717</v>
      </c>
      <c r="N135" s="182" t="s">
        <v>149</v>
      </c>
      <c r="O135" s="186" t="s">
        <v>140</v>
      </c>
      <c r="P135" s="186" t="s">
        <v>785</v>
      </c>
    </row>
    <row r="136" spans="1:16" ht="15.75" x14ac:dyDescent="0.25">
      <c r="K136" s="186" t="s">
        <v>124</v>
      </c>
      <c r="O136" s="186" t="s">
        <v>138</v>
      </c>
      <c r="P136" s="186" t="s">
        <v>138</v>
      </c>
    </row>
    <row r="137" spans="1:16" ht="15.75" x14ac:dyDescent="0.25">
      <c r="I137" s="183">
        <f>(K137+K139)*3.6</f>
        <v>16387370.82</v>
      </c>
      <c r="J137" s="186" t="s">
        <v>1033</v>
      </c>
      <c r="K137" s="183">
        <f>O108</f>
        <v>3629277.15</v>
      </c>
      <c r="L137" s="185">
        <v>0.28999999999999998</v>
      </c>
      <c r="M137" s="182">
        <f>I108</f>
        <v>600</v>
      </c>
      <c r="N137" s="184">
        <f>K137/(M137*8760)</f>
        <v>0.69050174086757987</v>
      </c>
      <c r="O137" s="183">
        <f>K137*3.6/L137/1000</f>
        <v>45053.095655172416</v>
      </c>
    </row>
    <row r="138" spans="1:16" ht="15.75" x14ac:dyDescent="0.25">
      <c r="J138" s="186" t="s">
        <v>1032</v>
      </c>
      <c r="K138" s="183">
        <f>O107</f>
        <v>648526.81999999995</v>
      </c>
      <c r="L138" s="185">
        <v>0.28999999999999998</v>
      </c>
      <c r="M138" s="182">
        <f>I107</f>
        <v>128</v>
      </c>
      <c r="N138" s="184">
        <f>K138/(M138*8760)</f>
        <v>0.57838079694634703</v>
      </c>
      <c r="O138" s="183">
        <f>K138*3.6/L138/1000</f>
        <v>8050.67776551724</v>
      </c>
    </row>
    <row r="139" spans="1:16" ht="15.75" x14ac:dyDescent="0.25">
      <c r="J139" s="186" t="s">
        <v>1031</v>
      </c>
      <c r="K139" s="183">
        <f>N109</f>
        <v>922770.3</v>
      </c>
      <c r="L139" s="185">
        <v>0.45</v>
      </c>
      <c r="P139" s="183">
        <f>K139*3.6/L139/1000</f>
        <v>7382.1624000000002</v>
      </c>
    </row>
    <row r="140" spans="1:16" ht="15.75" x14ac:dyDescent="0.25">
      <c r="J140" s="186" t="s">
        <v>1030</v>
      </c>
      <c r="K140" s="183">
        <f>N110</f>
        <v>1705272.78</v>
      </c>
      <c r="L140" s="185">
        <v>0.45</v>
      </c>
      <c r="P140" s="183">
        <f>K140*3.6/L140/1000</f>
        <v>13642.18224</v>
      </c>
    </row>
    <row r="141" spans="1:16" ht="15.75" x14ac:dyDescent="0.25">
      <c r="J141" s="186" t="s">
        <v>1029</v>
      </c>
      <c r="O141" s="183">
        <f>SUM(O137:O138)</f>
        <v>53103.773420689657</v>
      </c>
      <c r="P141" s="183">
        <f>SUM(P139:P140)</f>
        <v>21024.344639999999</v>
      </c>
    </row>
    <row r="143" spans="1:16" ht="15.75" x14ac:dyDescent="0.25">
      <c r="J143" s="186" t="s">
        <v>1028</v>
      </c>
      <c r="L143" s="186" t="s">
        <v>1027</v>
      </c>
      <c r="M143" s="186" t="s">
        <v>115</v>
      </c>
      <c r="N143" s="186" t="s">
        <v>140</v>
      </c>
      <c r="O143" s="186" t="s">
        <v>1005</v>
      </c>
      <c r="P143" s="186" t="s">
        <v>1026</v>
      </c>
    </row>
    <row r="144" spans="1:16" ht="15.75" x14ac:dyDescent="0.25">
      <c r="K144" s="183">
        <f>L83+L84+L105+L106</f>
        <v>1741296.49</v>
      </c>
      <c r="L144" s="188">
        <v>5.8000000000000003E-2</v>
      </c>
      <c r="M144" s="183">
        <f>K144*3.6/L144/1000</f>
        <v>108080.47179310344</v>
      </c>
      <c r="N144" s="183">
        <f>M144*P144</f>
        <v>54040.23589655172</v>
      </c>
      <c r="O144" s="183">
        <f>M144-N144</f>
        <v>54040.23589655172</v>
      </c>
      <c r="P144" s="185">
        <v>0.5</v>
      </c>
    </row>
    <row r="146" spans="10:15" ht="15.75" x14ac:dyDescent="0.25">
      <c r="J146" s="186" t="s">
        <v>1025</v>
      </c>
      <c r="K146" s="183">
        <f>L71+L93+L94+L122+L123+L124+L125+L127</f>
        <v>409965.13</v>
      </c>
      <c r="L146" s="183"/>
      <c r="M146" s="183"/>
      <c r="N146" s="183"/>
      <c r="O146" s="183"/>
    </row>
    <row r="147" spans="10:15" ht="15.75" x14ac:dyDescent="0.25">
      <c r="J147" s="186" t="s">
        <v>1024</v>
      </c>
      <c r="K147" s="183">
        <f>2.55/3.6*1000000</f>
        <v>708333.33333333326</v>
      </c>
      <c r="L147" s="187">
        <f>K147*3.6/1000/(N147+O147)</f>
        <v>5.6919642857142856E-2</v>
      </c>
      <c r="M147" s="183"/>
      <c r="N147" s="183">
        <f>5390</f>
        <v>5390</v>
      </c>
      <c r="O147" s="183">
        <f>38430+980</f>
        <v>39410</v>
      </c>
    </row>
    <row r="148" spans="10:15" ht="15.75" x14ac:dyDescent="0.25">
      <c r="K148" s="183"/>
      <c r="L148" s="183"/>
      <c r="M148" s="183"/>
      <c r="N148" s="183"/>
      <c r="O148" s="183"/>
    </row>
    <row r="149" spans="10:15" ht="15.75" x14ac:dyDescent="0.25">
      <c r="J149" s="186" t="s">
        <v>1023</v>
      </c>
      <c r="O149" s="186" t="s">
        <v>140</v>
      </c>
    </row>
    <row r="150" spans="10:15" ht="15.75" x14ac:dyDescent="0.25">
      <c r="J150" s="182" t="s">
        <v>486</v>
      </c>
      <c r="K150" s="183">
        <f>N38</f>
        <v>1707095</v>
      </c>
      <c r="L150" s="185">
        <v>0.3</v>
      </c>
      <c r="M150" s="182">
        <v>600</v>
      </c>
      <c r="N150" s="184">
        <f>K150/(M150*8760)</f>
        <v>0.32478976407914761</v>
      </c>
      <c r="O150" s="183">
        <f>K150*3.6/L150/1000</f>
        <v>20485.14</v>
      </c>
    </row>
    <row r="153" spans="10:15" ht="15" customHeight="1" x14ac:dyDescent="0.2">
      <c r="J153" s="182" t="s">
        <v>1771</v>
      </c>
      <c r="K153" s="327">
        <f>SUMIF(E2:E132,"Gas",N2:N132)/1000000</f>
        <v>3.5372053500000002</v>
      </c>
    </row>
    <row r="154" spans="10:15" ht="15" customHeight="1" x14ac:dyDescent="0.2">
      <c r="J154" s="182" t="s">
        <v>1772</v>
      </c>
      <c r="K154" s="328">
        <f>K153/0.3*3.6</f>
        <v>42.446464200000008</v>
      </c>
    </row>
  </sheetData>
  <autoFilter ref="A1:P141" xr:uid="{00000000-0009-0000-0000-00000B000000}"/>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84CA2-FC8C-4B1E-8EA1-C81D5684BC83}">
  <sheetPr codeName="Sheet52"/>
  <dimension ref="A1:AK76"/>
  <sheetViews>
    <sheetView workbookViewId="0"/>
  </sheetViews>
  <sheetFormatPr defaultColWidth="9.140625" defaultRowHeight="12.75" x14ac:dyDescent="0.2"/>
  <cols>
    <col min="1" max="1" width="9.140625" style="45"/>
    <col min="2" max="2" width="17.85546875" style="45" bestFit="1" customWidth="1"/>
    <col min="3" max="7" width="9.140625" style="45"/>
    <col min="8" max="8" width="21.42578125" style="45" bestFit="1" customWidth="1"/>
    <col min="9" max="9" width="25.28515625" style="45" bestFit="1" customWidth="1"/>
    <col min="10" max="10" width="25" style="45" bestFit="1" customWidth="1"/>
    <col min="11" max="11" width="19" style="45" bestFit="1" customWidth="1"/>
    <col min="12" max="12" width="22.85546875" style="45" bestFit="1" customWidth="1"/>
    <col min="13" max="13" width="27.7109375" style="45" bestFit="1" customWidth="1"/>
    <col min="14" max="14" width="18.7109375" style="45" bestFit="1" customWidth="1"/>
    <col min="15" max="16384" width="9.140625" style="45"/>
  </cols>
  <sheetData>
    <row r="1" spans="2:14" x14ac:dyDescent="0.2">
      <c r="B1" s="45">
        <v>2018</v>
      </c>
    </row>
    <row r="2" spans="2:14" x14ac:dyDescent="0.2">
      <c r="B2" s="202" t="s">
        <v>1019</v>
      </c>
      <c r="C2" s="202" t="s">
        <v>1018</v>
      </c>
      <c r="D2" s="204" t="s">
        <v>1085</v>
      </c>
      <c r="E2" s="203" t="s">
        <v>134</v>
      </c>
      <c r="F2" s="202" t="s">
        <v>1017</v>
      </c>
      <c r="G2" s="202" t="s">
        <v>1084</v>
      </c>
      <c r="H2" s="202" t="s">
        <v>1083</v>
      </c>
      <c r="I2" s="202" t="s">
        <v>1082</v>
      </c>
      <c r="J2" s="202" t="s">
        <v>1081</v>
      </c>
      <c r="K2" s="202" t="s">
        <v>1012</v>
      </c>
      <c r="L2" s="202" t="s">
        <v>1011</v>
      </c>
      <c r="M2" s="202" t="s">
        <v>1080</v>
      </c>
      <c r="N2" s="202" t="s">
        <v>1009</v>
      </c>
    </row>
    <row r="3" spans="2:14" x14ac:dyDescent="0.2">
      <c r="B3" s="200" t="s">
        <v>416</v>
      </c>
      <c r="C3" s="200" t="s">
        <v>140</v>
      </c>
      <c r="D3" s="191" t="s">
        <v>1048</v>
      </c>
      <c r="E3" s="191" t="s">
        <v>1036</v>
      </c>
      <c r="F3" s="198">
        <v>2018</v>
      </c>
      <c r="G3" s="197">
        <v>1980</v>
      </c>
      <c r="H3" s="197">
        <v>11778390.859999999</v>
      </c>
      <c r="I3" s="197">
        <v>915105.89</v>
      </c>
      <c r="J3" s="197">
        <v>10863284.970000001</v>
      </c>
      <c r="K3" s="198">
        <v>0</v>
      </c>
      <c r="L3" s="197">
        <v>10863284.970000001</v>
      </c>
      <c r="M3" s="198">
        <v>0</v>
      </c>
      <c r="N3" s="197">
        <v>10863284.970000001</v>
      </c>
    </row>
    <row r="4" spans="2:14" x14ac:dyDescent="0.2">
      <c r="B4" s="200" t="s">
        <v>470</v>
      </c>
      <c r="C4" s="200" t="s">
        <v>140</v>
      </c>
      <c r="D4" s="191" t="s">
        <v>1048</v>
      </c>
      <c r="E4" s="191" t="s">
        <v>1036</v>
      </c>
      <c r="F4" s="198">
        <v>2018</v>
      </c>
      <c r="G4" s="197">
        <v>1520</v>
      </c>
      <c r="H4" s="197">
        <v>8127675.9699999997</v>
      </c>
      <c r="I4" s="197">
        <v>640966.31999999995</v>
      </c>
      <c r="J4" s="197">
        <v>7486709.6500000004</v>
      </c>
      <c r="K4" s="198">
        <v>0</v>
      </c>
      <c r="L4" s="197">
        <v>7486709.6500000004</v>
      </c>
      <c r="M4" s="198">
        <v>0</v>
      </c>
      <c r="N4" s="197">
        <v>7486709.6500000004</v>
      </c>
    </row>
    <row r="5" spans="2:14" x14ac:dyDescent="0.2">
      <c r="B5" s="200" t="s">
        <v>466</v>
      </c>
      <c r="C5" s="200" t="s">
        <v>140</v>
      </c>
      <c r="D5" s="191" t="s">
        <v>1048</v>
      </c>
      <c r="E5" s="191" t="s">
        <v>1036</v>
      </c>
      <c r="F5" s="198">
        <v>2018</v>
      </c>
      <c r="G5" s="197">
        <v>3450</v>
      </c>
      <c r="H5" s="197">
        <v>11698000.35</v>
      </c>
      <c r="I5" s="197">
        <v>1086090.8400000001</v>
      </c>
      <c r="J5" s="197">
        <v>10611909.51</v>
      </c>
      <c r="K5" s="198">
        <v>0</v>
      </c>
      <c r="L5" s="197">
        <v>10611909.51</v>
      </c>
      <c r="M5" s="198">
        <v>0</v>
      </c>
      <c r="N5" s="197">
        <v>10611909.51</v>
      </c>
    </row>
    <row r="6" spans="2:14" x14ac:dyDescent="0.2">
      <c r="B6" s="200" t="s">
        <v>405</v>
      </c>
      <c r="C6" s="200" t="s">
        <v>140</v>
      </c>
      <c r="D6" s="191" t="s">
        <v>1048</v>
      </c>
      <c r="E6" s="191" t="s">
        <v>1036</v>
      </c>
      <c r="F6" s="198">
        <v>2018</v>
      </c>
      <c r="G6" s="197">
        <v>1130</v>
      </c>
      <c r="H6" s="197">
        <v>2644796.23</v>
      </c>
      <c r="I6" s="197">
        <v>237762.33</v>
      </c>
      <c r="J6" s="197">
        <v>2407033.9</v>
      </c>
      <c r="K6" s="198">
        <v>0</v>
      </c>
      <c r="L6" s="197">
        <v>2407033.9</v>
      </c>
      <c r="M6" s="198">
        <v>0</v>
      </c>
      <c r="N6" s="197">
        <v>2407033.9</v>
      </c>
    </row>
    <row r="7" spans="2:14" x14ac:dyDescent="0.2">
      <c r="B7" s="200" t="s">
        <v>409</v>
      </c>
      <c r="C7" s="200" t="s">
        <v>140</v>
      </c>
      <c r="D7" s="191" t="s">
        <v>1048</v>
      </c>
      <c r="E7" s="191" t="s">
        <v>1036</v>
      </c>
      <c r="F7" s="198">
        <v>2018</v>
      </c>
      <c r="G7" s="197">
        <v>1900</v>
      </c>
      <c r="H7" s="197">
        <v>8601265.8000000007</v>
      </c>
      <c r="I7" s="197">
        <v>616233.37</v>
      </c>
      <c r="J7" s="197">
        <v>7985032.4299999997</v>
      </c>
      <c r="K7" s="198">
        <v>0</v>
      </c>
      <c r="L7" s="197">
        <v>7985032.4299999997</v>
      </c>
      <c r="M7" s="198">
        <v>0</v>
      </c>
      <c r="N7" s="197">
        <v>7985032.4299999997</v>
      </c>
    </row>
    <row r="8" spans="2:14" x14ac:dyDescent="0.2">
      <c r="B8" s="200" t="s">
        <v>455</v>
      </c>
      <c r="C8" s="200" t="s">
        <v>140</v>
      </c>
      <c r="D8" s="191" t="s">
        <v>1048</v>
      </c>
      <c r="E8" s="191" t="s">
        <v>1036</v>
      </c>
      <c r="F8" s="198">
        <v>2018</v>
      </c>
      <c r="G8" s="197">
        <v>3840</v>
      </c>
      <c r="H8" s="197">
        <v>24612913.059999999</v>
      </c>
      <c r="I8" s="197">
        <v>1918505.09</v>
      </c>
      <c r="J8" s="197">
        <v>22694407.969999999</v>
      </c>
      <c r="K8" s="198">
        <v>0</v>
      </c>
      <c r="L8" s="197">
        <v>22694407.969999999</v>
      </c>
      <c r="M8" s="198">
        <v>0</v>
      </c>
      <c r="N8" s="197">
        <v>22694407.969999999</v>
      </c>
    </row>
    <row r="9" spans="2:14" x14ac:dyDescent="0.2">
      <c r="B9" s="200" t="s">
        <v>406</v>
      </c>
      <c r="C9" s="200" t="s">
        <v>140</v>
      </c>
      <c r="D9" s="191" t="s">
        <v>1048</v>
      </c>
      <c r="E9" s="191" t="s">
        <v>1036</v>
      </c>
      <c r="F9" s="198">
        <v>2018</v>
      </c>
      <c r="G9" s="197">
        <v>1000</v>
      </c>
      <c r="H9" s="197">
        <v>2318905.87</v>
      </c>
      <c r="I9" s="197">
        <v>165328.51</v>
      </c>
      <c r="J9" s="197">
        <v>2153577.36</v>
      </c>
      <c r="K9" s="198">
        <v>0</v>
      </c>
      <c r="L9" s="197">
        <v>2153577.36</v>
      </c>
      <c r="M9" s="198">
        <v>0</v>
      </c>
      <c r="N9" s="197">
        <v>2153577.36</v>
      </c>
    </row>
    <row r="10" spans="2:14" x14ac:dyDescent="0.2">
      <c r="B10" s="200" t="s">
        <v>410</v>
      </c>
      <c r="C10" s="200" t="s">
        <v>140</v>
      </c>
      <c r="D10" s="191" t="s">
        <v>1048</v>
      </c>
      <c r="E10" s="191" t="s">
        <v>1036</v>
      </c>
      <c r="F10" s="198">
        <v>2018</v>
      </c>
      <c r="G10" s="197">
        <v>2850</v>
      </c>
      <c r="H10" s="197">
        <v>13465249.300000001</v>
      </c>
      <c r="I10" s="197">
        <v>870173.16</v>
      </c>
      <c r="J10" s="197">
        <v>12595076.140000001</v>
      </c>
      <c r="K10" s="198">
        <v>0</v>
      </c>
      <c r="L10" s="197">
        <v>12595076.140000001</v>
      </c>
      <c r="M10" s="198">
        <v>0</v>
      </c>
      <c r="N10" s="197">
        <v>12595076.140000001</v>
      </c>
    </row>
    <row r="11" spans="2:14" x14ac:dyDescent="0.2">
      <c r="B11" s="200" t="s">
        <v>441</v>
      </c>
      <c r="C11" s="200" t="s">
        <v>140</v>
      </c>
      <c r="D11" s="191" t="s">
        <v>1049</v>
      </c>
      <c r="E11" s="191" t="s">
        <v>1036</v>
      </c>
      <c r="F11" s="198">
        <v>2018</v>
      </c>
      <c r="G11" s="197">
        <v>3558</v>
      </c>
      <c r="H11" s="197">
        <v>20827205.899999999</v>
      </c>
      <c r="I11" s="197">
        <v>1172157.79</v>
      </c>
      <c r="J11" s="197">
        <v>19655048.109999999</v>
      </c>
      <c r="K11" s="198">
        <v>0</v>
      </c>
      <c r="L11" s="197">
        <v>19655048.109999999</v>
      </c>
      <c r="M11" s="198">
        <v>0</v>
      </c>
      <c r="N11" s="197">
        <v>19655048.109999999</v>
      </c>
    </row>
    <row r="12" spans="2:14" x14ac:dyDescent="0.2">
      <c r="B12" s="200" t="s">
        <v>407</v>
      </c>
      <c r="C12" s="200" t="s">
        <v>140</v>
      </c>
      <c r="D12" s="191" t="s">
        <v>1048</v>
      </c>
      <c r="E12" s="191" t="s">
        <v>1036</v>
      </c>
      <c r="F12" s="198">
        <v>2018</v>
      </c>
      <c r="G12" s="197">
        <v>3843</v>
      </c>
      <c r="H12" s="197">
        <v>26301014.129999999</v>
      </c>
      <c r="I12" s="197">
        <v>1909230.08</v>
      </c>
      <c r="J12" s="197">
        <v>24391784.050000001</v>
      </c>
      <c r="K12" s="198">
        <v>0</v>
      </c>
      <c r="L12" s="197">
        <v>24391784.050000001</v>
      </c>
      <c r="M12" s="198">
        <v>0</v>
      </c>
      <c r="N12" s="197">
        <v>24391784.050000001</v>
      </c>
    </row>
    <row r="13" spans="2:14" x14ac:dyDescent="0.2">
      <c r="B13" s="200" t="s">
        <v>434</v>
      </c>
      <c r="C13" s="200" t="s">
        <v>140</v>
      </c>
      <c r="D13" s="191" t="s">
        <v>1047</v>
      </c>
      <c r="E13" s="191" t="s">
        <v>1036</v>
      </c>
      <c r="F13" s="198">
        <v>2018</v>
      </c>
      <c r="G13" s="197">
        <v>3690</v>
      </c>
      <c r="H13" s="197">
        <v>29602780.120000001</v>
      </c>
      <c r="I13" s="197">
        <v>2586669.4</v>
      </c>
      <c r="J13" s="197">
        <v>27016110.719999999</v>
      </c>
      <c r="K13" s="198">
        <v>0</v>
      </c>
      <c r="L13" s="197">
        <v>27016110.719999999</v>
      </c>
      <c r="M13" s="198">
        <v>0</v>
      </c>
      <c r="N13" s="197">
        <v>27016110.719999999</v>
      </c>
    </row>
    <row r="14" spans="2:14" x14ac:dyDescent="0.2">
      <c r="B14" s="200" t="s">
        <v>413</v>
      </c>
      <c r="C14" s="200" t="s">
        <v>140</v>
      </c>
      <c r="D14" s="191" t="s">
        <v>1048</v>
      </c>
      <c r="E14" s="191" t="s">
        <v>1036</v>
      </c>
      <c r="F14" s="198">
        <v>2018</v>
      </c>
      <c r="G14" s="197">
        <v>3450</v>
      </c>
      <c r="H14" s="197">
        <v>20761579.800000001</v>
      </c>
      <c r="I14" s="197">
        <v>1218096.32</v>
      </c>
      <c r="J14" s="197">
        <v>19543483.48</v>
      </c>
      <c r="K14" s="198">
        <v>0</v>
      </c>
      <c r="L14" s="197">
        <v>19543483.48</v>
      </c>
      <c r="M14" s="198">
        <v>0</v>
      </c>
      <c r="N14" s="197">
        <v>19543483.48</v>
      </c>
    </row>
    <row r="15" spans="2:14" x14ac:dyDescent="0.2">
      <c r="B15" s="200" t="s">
        <v>418</v>
      </c>
      <c r="C15" s="200" t="s">
        <v>140</v>
      </c>
      <c r="D15" s="191" t="s">
        <v>1048</v>
      </c>
      <c r="E15" s="191" t="s">
        <v>1036</v>
      </c>
      <c r="F15" s="198">
        <v>2018</v>
      </c>
      <c r="G15" s="197">
        <v>3510</v>
      </c>
      <c r="H15" s="197">
        <v>17465880.77</v>
      </c>
      <c r="I15" s="197">
        <v>1226462.5900000001</v>
      </c>
      <c r="J15" s="197">
        <v>16239418.18</v>
      </c>
      <c r="K15" s="198">
        <v>0</v>
      </c>
      <c r="L15" s="197">
        <v>16239418.18</v>
      </c>
      <c r="M15" s="198">
        <v>0</v>
      </c>
      <c r="N15" s="197">
        <v>16239418.18</v>
      </c>
    </row>
    <row r="16" spans="2:14" x14ac:dyDescent="0.2">
      <c r="B16" s="200" t="s">
        <v>426</v>
      </c>
      <c r="C16" s="200" t="s">
        <v>140</v>
      </c>
      <c r="D16" s="191" t="s">
        <v>1047</v>
      </c>
      <c r="E16" s="191" t="s">
        <v>1036</v>
      </c>
      <c r="F16" s="198">
        <v>2018</v>
      </c>
      <c r="G16" s="197">
        <v>4500</v>
      </c>
      <c r="H16" s="197">
        <v>13799324.470000001</v>
      </c>
      <c r="I16" s="197">
        <v>1243806.3500000001</v>
      </c>
      <c r="J16" s="197">
        <v>12555518.119999999</v>
      </c>
      <c r="K16" s="198">
        <v>0</v>
      </c>
      <c r="L16" s="197">
        <v>12555518.119999999</v>
      </c>
      <c r="M16" s="198">
        <v>0</v>
      </c>
      <c r="N16" s="197">
        <v>12555518.119999999</v>
      </c>
    </row>
    <row r="17" spans="2:14" x14ac:dyDescent="0.2">
      <c r="B17" s="200" t="s">
        <v>513</v>
      </c>
      <c r="C17" s="200" t="s">
        <v>140</v>
      </c>
      <c r="D17" s="191" t="s">
        <v>1048</v>
      </c>
      <c r="E17" s="191" t="s">
        <v>1036</v>
      </c>
      <c r="F17" s="198">
        <v>2018</v>
      </c>
      <c r="G17" s="197">
        <v>4800</v>
      </c>
      <c r="H17" s="197">
        <v>3899915.64</v>
      </c>
      <c r="I17" s="197">
        <v>402669.64</v>
      </c>
      <c r="J17" s="197">
        <v>3497246</v>
      </c>
      <c r="K17" s="198">
        <v>0</v>
      </c>
      <c r="L17" s="197">
        <v>3497246</v>
      </c>
      <c r="M17" s="198">
        <v>0</v>
      </c>
      <c r="N17" s="197">
        <v>3497246</v>
      </c>
    </row>
    <row r="21" spans="2:14" x14ac:dyDescent="0.2">
      <c r="B21" s="45">
        <v>2012</v>
      </c>
    </row>
    <row r="22" spans="2:14" x14ac:dyDescent="0.2">
      <c r="B22" s="77"/>
      <c r="C22" s="77"/>
      <c r="D22" s="77" t="s">
        <v>1112</v>
      </c>
      <c r="E22" s="77" t="s">
        <v>1111</v>
      </c>
      <c r="F22" s="77" t="s">
        <v>1094</v>
      </c>
      <c r="G22" s="77" t="s">
        <v>1110</v>
      </c>
      <c r="H22" s="77" t="s">
        <v>1109</v>
      </c>
      <c r="I22" s="77" t="s">
        <v>1108</v>
      </c>
      <c r="J22" s="77" t="s">
        <v>1107</v>
      </c>
      <c r="K22" s="77" t="s">
        <v>1106</v>
      </c>
      <c r="L22" s="77" t="s">
        <v>1105</v>
      </c>
      <c r="M22" s="77"/>
    </row>
    <row r="23" spans="2:14" x14ac:dyDescent="0.2">
      <c r="B23" s="77" t="s">
        <v>1019</v>
      </c>
      <c r="C23" s="77" t="s">
        <v>1104</v>
      </c>
      <c r="D23" s="77"/>
      <c r="E23" s="77"/>
      <c r="F23" s="77" t="s">
        <v>1103</v>
      </c>
      <c r="G23" s="77"/>
      <c r="H23" s="77" t="s">
        <v>1102</v>
      </c>
      <c r="I23" s="77"/>
      <c r="J23" s="77"/>
      <c r="K23" s="77"/>
      <c r="L23" s="77"/>
      <c r="M23" s="77" t="s">
        <v>1101</v>
      </c>
    </row>
    <row r="24" spans="2:14" ht="13.5" thickBot="1" x14ac:dyDescent="0.25">
      <c r="B24" s="77"/>
      <c r="C24" s="77"/>
      <c r="D24" s="77"/>
      <c r="E24" s="77" t="s">
        <v>121</v>
      </c>
      <c r="F24" s="77" t="s">
        <v>121</v>
      </c>
      <c r="G24" s="77" t="s">
        <v>124</v>
      </c>
      <c r="H24" s="77" t="s">
        <v>124</v>
      </c>
      <c r="I24" s="77" t="s">
        <v>124</v>
      </c>
      <c r="J24" s="77" t="s">
        <v>124</v>
      </c>
      <c r="K24" s="77" t="s">
        <v>124</v>
      </c>
      <c r="L24" s="77" t="s">
        <v>124</v>
      </c>
      <c r="M24" s="77" t="s">
        <v>124</v>
      </c>
    </row>
    <row r="25" spans="2:14" ht="13.5" thickBot="1" x14ac:dyDescent="0.25">
      <c r="B25" s="221" t="s">
        <v>1100</v>
      </c>
      <c r="C25" s="220"/>
      <c r="D25" s="220"/>
      <c r="E25" s="220"/>
      <c r="F25" s="220"/>
      <c r="G25" s="220"/>
      <c r="H25" s="220"/>
      <c r="I25" s="220"/>
      <c r="J25" s="220"/>
      <c r="K25" s="220"/>
      <c r="L25" s="220"/>
      <c r="M25" s="219"/>
    </row>
    <row r="26" spans="2:14" ht="13.5" thickBot="1" x14ac:dyDescent="0.25">
      <c r="B26" s="209" t="s">
        <v>416</v>
      </c>
      <c r="C26" s="217" t="s">
        <v>140</v>
      </c>
      <c r="D26" s="217" t="s">
        <v>485</v>
      </c>
      <c r="E26" s="216">
        <v>2232</v>
      </c>
      <c r="F26" s="216">
        <v>2012</v>
      </c>
      <c r="G26" s="216">
        <v>13026226.029999999</v>
      </c>
      <c r="H26" s="216">
        <v>911870.03</v>
      </c>
      <c r="I26" s="216">
        <v>12114356</v>
      </c>
      <c r="J26" s="214" t="s">
        <v>1099</v>
      </c>
      <c r="K26" s="218">
        <v>12114356</v>
      </c>
      <c r="L26" s="214" t="s">
        <v>1099</v>
      </c>
      <c r="M26" s="213">
        <v>12114356</v>
      </c>
    </row>
    <row r="27" spans="2:14" ht="13.5" thickBot="1" x14ac:dyDescent="0.25">
      <c r="B27" s="209" t="s">
        <v>470</v>
      </c>
      <c r="C27" s="217" t="s">
        <v>140</v>
      </c>
      <c r="D27" s="217" t="s">
        <v>485</v>
      </c>
      <c r="E27" s="216">
        <v>1450</v>
      </c>
      <c r="F27" s="216">
        <v>1451</v>
      </c>
      <c r="G27" s="216">
        <v>8902148</v>
      </c>
      <c r="H27" s="216">
        <v>640513.62</v>
      </c>
      <c r="I27" s="216">
        <v>8261634.3799999999</v>
      </c>
      <c r="J27" s="214" t="s">
        <v>1099</v>
      </c>
      <c r="K27" s="215">
        <v>8261634.3799999999</v>
      </c>
      <c r="L27" s="214" t="s">
        <v>1099</v>
      </c>
      <c r="M27" s="213">
        <v>8261634.3799999999</v>
      </c>
    </row>
    <row r="28" spans="2:14" ht="13.5" thickBot="1" x14ac:dyDescent="0.25">
      <c r="B28" s="209" t="s">
        <v>466</v>
      </c>
      <c r="C28" s="217" t="s">
        <v>140</v>
      </c>
      <c r="D28" s="217" t="s">
        <v>485</v>
      </c>
      <c r="E28" s="216">
        <v>3450</v>
      </c>
      <c r="F28" s="216">
        <v>2645</v>
      </c>
      <c r="G28" s="216">
        <v>18131754</v>
      </c>
      <c r="H28" s="216">
        <v>1069966</v>
      </c>
      <c r="I28" s="216">
        <v>17061788</v>
      </c>
      <c r="J28" s="214" t="s">
        <v>1099</v>
      </c>
      <c r="K28" s="215">
        <v>17061788</v>
      </c>
      <c r="L28" s="214" t="s">
        <v>1099</v>
      </c>
      <c r="M28" s="213">
        <v>17061788</v>
      </c>
    </row>
    <row r="29" spans="2:14" ht="13.5" thickBot="1" x14ac:dyDescent="0.25">
      <c r="B29" s="209" t="s">
        <v>405</v>
      </c>
      <c r="C29" s="217" t="s">
        <v>140</v>
      </c>
      <c r="D29" s="217" t="s">
        <v>485</v>
      </c>
      <c r="E29" s="216">
        <v>1090</v>
      </c>
      <c r="F29" s="216">
        <v>1077</v>
      </c>
      <c r="G29" s="216">
        <v>6232252.8899999997</v>
      </c>
      <c r="H29" s="216">
        <v>395871.89</v>
      </c>
      <c r="I29" s="216">
        <v>5836381</v>
      </c>
      <c r="J29" s="214" t="s">
        <v>1099</v>
      </c>
      <c r="K29" s="215">
        <v>5836381</v>
      </c>
      <c r="L29" s="214" t="s">
        <v>1099</v>
      </c>
      <c r="M29" s="213">
        <v>5836381</v>
      </c>
    </row>
    <row r="30" spans="2:14" ht="13.5" thickBot="1" x14ac:dyDescent="0.25">
      <c r="B30" s="209" t="s">
        <v>409</v>
      </c>
      <c r="C30" s="217" t="s">
        <v>140</v>
      </c>
      <c r="D30" s="217" t="s">
        <v>485</v>
      </c>
      <c r="E30" s="216">
        <v>1865</v>
      </c>
      <c r="F30" s="216">
        <v>1596</v>
      </c>
      <c r="G30" s="216">
        <v>10695691.49</v>
      </c>
      <c r="H30" s="216">
        <v>673685.49</v>
      </c>
      <c r="I30" s="216">
        <v>10022006</v>
      </c>
      <c r="J30" s="214" t="s">
        <v>1099</v>
      </c>
      <c r="K30" s="215">
        <v>10022006</v>
      </c>
      <c r="L30" s="214" t="s">
        <v>1099</v>
      </c>
      <c r="M30" s="213">
        <v>10022006</v>
      </c>
    </row>
    <row r="31" spans="2:14" ht="13.5" thickBot="1" x14ac:dyDescent="0.25">
      <c r="B31" s="209" t="s">
        <v>455</v>
      </c>
      <c r="C31" s="217" t="s">
        <v>140</v>
      </c>
      <c r="D31" s="217" t="s">
        <v>485</v>
      </c>
      <c r="E31" s="216">
        <v>3840</v>
      </c>
      <c r="F31" s="216">
        <v>3949</v>
      </c>
      <c r="G31" s="216">
        <v>28855844.899999999</v>
      </c>
      <c r="H31" s="216">
        <v>2060012.9</v>
      </c>
      <c r="I31" s="216">
        <v>26795832</v>
      </c>
      <c r="J31" s="214" t="s">
        <v>1099</v>
      </c>
      <c r="K31" s="215">
        <v>26795832</v>
      </c>
      <c r="L31" s="214" t="s">
        <v>1099</v>
      </c>
      <c r="M31" s="213">
        <v>26795832</v>
      </c>
    </row>
    <row r="32" spans="2:14" ht="13.5" thickBot="1" x14ac:dyDescent="0.25">
      <c r="B32" s="209" t="s">
        <v>406</v>
      </c>
      <c r="C32" s="217" t="s">
        <v>140</v>
      </c>
      <c r="D32" s="217" t="s">
        <v>485</v>
      </c>
      <c r="E32" s="214">
        <v>791</v>
      </c>
      <c r="F32" s="214">
        <v>757</v>
      </c>
      <c r="G32" s="216">
        <v>3963569.04</v>
      </c>
      <c r="H32" s="216">
        <v>249003.04</v>
      </c>
      <c r="I32" s="216">
        <v>3714566</v>
      </c>
      <c r="J32" s="214" t="s">
        <v>1099</v>
      </c>
      <c r="K32" s="215">
        <v>3714566</v>
      </c>
      <c r="L32" s="214" t="s">
        <v>1099</v>
      </c>
      <c r="M32" s="213">
        <v>3714566</v>
      </c>
    </row>
    <row r="33" spans="1:17" ht="13.5" thickBot="1" x14ac:dyDescent="0.25">
      <c r="B33" s="209" t="s">
        <v>410</v>
      </c>
      <c r="C33" s="217" t="s">
        <v>140</v>
      </c>
      <c r="D33" s="217" t="s">
        <v>485</v>
      </c>
      <c r="E33" s="216">
        <v>2850</v>
      </c>
      <c r="F33" s="216">
        <v>2580</v>
      </c>
      <c r="G33" s="216">
        <v>16944768.719999999</v>
      </c>
      <c r="H33" s="216">
        <v>1223746.72</v>
      </c>
      <c r="I33" s="216">
        <v>15721022</v>
      </c>
      <c r="J33" s="214" t="s">
        <v>1099</v>
      </c>
      <c r="K33" s="215">
        <v>15721022</v>
      </c>
      <c r="L33" s="214" t="s">
        <v>1099</v>
      </c>
      <c r="M33" s="213">
        <v>15721022</v>
      </c>
    </row>
    <row r="34" spans="1:17" ht="13.5" thickBot="1" x14ac:dyDescent="0.25">
      <c r="B34" s="209" t="s">
        <v>441</v>
      </c>
      <c r="C34" s="217" t="s">
        <v>140</v>
      </c>
      <c r="D34" s="217" t="s">
        <v>485</v>
      </c>
      <c r="E34" s="216">
        <v>3558</v>
      </c>
      <c r="F34" s="216">
        <v>3575</v>
      </c>
      <c r="G34" s="216">
        <v>24333573.600000001</v>
      </c>
      <c r="H34" s="216">
        <v>1388506.6</v>
      </c>
      <c r="I34" s="216">
        <v>22945067</v>
      </c>
      <c r="J34" s="214" t="s">
        <v>1099</v>
      </c>
      <c r="K34" s="215">
        <v>22945067</v>
      </c>
      <c r="L34" s="214" t="s">
        <v>1099</v>
      </c>
      <c r="M34" s="213">
        <v>22945067</v>
      </c>
    </row>
    <row r="35" spans="1:17" ht="13.5" thickBot="1" x14ac:dyDescent="0.25">
      <c r="B35" s="209" t="s">
        <v>407</v>
      </c>
      <c r="C35" s="217" t="s">
        <v>140</v>
      </c>
      <c r="D35" s="217" t="s">
        <v>485</v>
      </c>
      <c r="E35" s="216">
        <v>3843</v>
      </c>
      <c r="F35" s="216">
        <v>3814</v>
      </c>
      <c r="G35" s="216">
        <v>27647993.219999999</v>
      </c>
      <c r="H35" s="216">
        <v>2226465.2200000002</v>
      </c>
      <c r="I35" s="216">
        <v>25421528</v>
      </c>
      <c r="J35" s="214" t="s">
        <v>1099</v>
      </c>
      <c r="K35" s="215">
        <v>25421528</v>
      </c>
      <c r="L35" s="214" t="s">
        <v>1099</v>
      </c>
      <c r="M35" s="213">
        <v>25421528</v>
      </c>
    </row>
    <row r="36" spans="1:17" ht="13.5" thickBot="1" x14ac:dyDescent="0.25">
      <c r="B36" s="209" t="s">
        <v>434</v>
      </c>
      <c r="C36" s="217" t="s">
        <v>140</v>
      </c>
      <c r="D36" s="217" t="s">
        <v>485</v>
      </c>
      <c r="E36" s="216">
        <v>3690</v>
      </c>
      <c r="F36" s="216">
        <v>3723</v>
      </c>
      <c r="G36" s="216">
        <v>29865255.359999999</v>
      </c>
      <c r="H36" s="216">
        <v>2679386.36</v>
      </c>
      <c r="I36" s="216">
        <v>27185869</v>
      </c>
      <c r="J36" s="214" t="s">
        <v>1099</v>
      </c>
      <c r="K36" s="215">
        <v>27185869</v>
      </c>
      <c r="L36" s="214" t="s">
        <v>1099</v>
      </c>
      <c r="M36" s="213">
        <v>27185869</v>
      </c>
    </row>
    <row r="37" spans="1:17" ht="13.5" thickBot="1" x14ac:dyDescent="0.25">
      <c r="B37" s="209" t="s">
        <v>413</v>
      </c>
      <c r="C37" s="217" t="s">
        <v>140</v>
      </c>
      <c r="D37" s="217" t="s">
        <v>485</v>
      </c>
      <c r="E37" s="216">
        <v>3450</v>
      </c>
      <c r="F37" s="216">
        <v>3388</v>
      </c>
      <c r="G37" s="216">
        <v>22765429.289999999</v>
      </c>
      <c r="H37" s="216">
        <v>1358253.29</v>
      </c>
      <c r="I37" s="216">
        <v>21407176</v>
      </c>
      <c r="J37" s="214" t="s">
        <v>1099</v>
      </c>
      <c r="K37" s="215">
        <v>21407176</v>
      </c>
      <c r="L37" s="214" t="s">
        <v>1099</v>
      </c>
      <c r="M37" s="213">
        <v>21407176</v>
      </c>
    </row>
    <row r="38" spans="1:17" ht="13.5" thickBot="1" x14ac:dyDescent="0.25">
      <c r="B38" s="209" t="s">
        <v>418</v>
      </c>
      <c r="C38" s="217" t="s">
        <v>140</v>
      </c>
      <c r="D38" s="217" t="s">
        <v>485</v>
      </c>
      <c r="E38" s="216">
        <v>3510</v>
      </c>
      <c r="F38" s="216">
        <v>3378</v>
      </c>
      <c r="G38" s="216">
        <v>20747557</v>
      </c>
      <c r="H38" s="216">
        <v>1160271</v>
      </c>
      <c r="I38" s="216">
        <v>19587286</v>
      </c>
      <c r="J38" s="214" t="s">
        <v>1099</v>
      </c>
      <c r="K38" s="215">
        <v>19587286</v>
      </c>
      <c r="L38" s="214" t="s">
        <v>1099</v>
      </c>
      <c r="M38" s="213">
        <v>19587286</v>
      </c>
    </row>
    <row r="40" spans="1:17" x14ac:dyDescent="0.2">
      <c r="G40" s="207"/>
    </row>
    <row r="41" spans="1:17" x14ac:dyDescent="0.2">
      <c r="B41" s="212" t="s">
        <v>1098</v>
      </c>
      <c r="C41" s="77" t="s">
        <v>1089</v>
      </c>
      <c r="D41" s="77"/>
      <c r="E41" s="45" t="s">
        <v>1097</v>
      </c>
      <c r="F41" s="45" t="s">
        <v>1096</v>
      </c>
      <c r="G41" s="45" t="s">
        <v>1095</v>
      </c>
      <c r="H41" s="77" t="s">
        <v>1094</v>
      </c>
      <c r="J41" s="45" t="s">
        <v>1093</v>
      </c>
      <c r="L41" s="45" t="s">
        <v>1092</v>
      </c>
    </row>
    <row r="42" spans="1:17" x14ac:dyDescent="0.2">
      <c r="B42" s="202" t="s">
        <v>1019</v>
      </c>
      <c r="C42" s="77" t="s">
        <v>121</v>
      </c>
      <c r="D42" s="77" t="s">
        <v>121</v>
      </c>
      <c r="E42" s="45" t="s">
        <v>121</v>
      </c>
      <c r="F42" s="45" t="s">
        <v>121</v>
      </c>
      <c r="H42" s="77" t="s">
        <v>121</v>
      </c>
      <c r="I42" s="45" t="s">
        <v>1091</v>
      </c>
      <c r="J42" s="77" t="s">
        <v>1090</v>
      </c>
      <c r="L42" s="77" t="s">
        <v>1089</v>
      </c>
      <c r="M42" s="45" t="s">
        <v>1088</v>
      </c>
      <c r="N42" s="45" t="s">
        <v>1089</v>
      </c>
      <c r="O42" s="45" t="s">
        <v>1088</v>
      </c>
      <c r="P42" s="45" t="s">
        <v>1087</v>
      </c>
    </row>
    <row r="43" spans="1:17" x14ac:dyDescent="0.2">
      <c r="B43" s="211"/>
      <c r="C43" s="45">
        <v>2012</v>
      </c>
      <c r="D43" s="45">
        <v>2018</v>
      </c>
      <c r="E43" s="45">
        <v>2017</v>
      </c>
      <c r="F43" s="45">
        <v>2018</v>
      </c>
      <c r="G43" s="45">
        <v>2019</v>
      </c>
      <c r="H43" s="45">
        <v>2012</v>
      </c>
      <c r="J43" s="45">
        <v>2012</v>
      </c>
      <c r="K43" s="45">
        <v>2018</v>
      </c>
      <c r="L43" s="45">
        <v>2012</v>
      </c>
      <c r="M43" s="45">
        <v>2012</v>
      </c>
      <c r="N43" s="45">
        <v>2018</v>
      </c>
      <c r="O43" s="45">
        <v>2017</v>
      </c>
      <c r="P43" s="45">
        <v>2012</v>
      </c>
      <c r="Q43" s="45">
        <v>2018</v>
      </c>
    </row>
    <row r="44" spans="1:17" ht="15.75" thickBot="1" x14ac:dyDescent="0.3">
      <c r="A44" s="209" t="s">
        <v>416</v>
      </c>
      <c r="B44" s="200" t="s">
        <v>416</v>
      </c>
      <c r="C44" s="207">
        <f t="shared" ref="C44:C58" si="0">E26</f>
        <v>2232</v>
      </c>
      <c r="D44" s="207">
        <f t="shared" ref="D44:D58" si="1">G3</f>
        <v>1980</v>
      </c>
      <c r="E44" s="210">
        <f t="shared" ref="E44:E52" si="2">H63*1000</f>
        <v>2220</v>
      </c>
      <c r="F44" s="207">
        <f>SUMIF('eskom production 2009-YTD'!$A$135:$A$148,B44,'eskom production 2009-YTD'!$B$135:$B$148)</f>
        <v>1980</v>
      </c>
      <c r="G44" s="207">
        <v>2232</v>
      </c>
      <c r="H44" s="207">
        <f t="shared" ref="H44:H58" si="3">F26</f>
        <v>2012</v>
      </c>
      <c r="I44" s="206">
        <f t="shared" ref="I44:I56" si="4">H44/C44</f>
        <v>0.90143369175627241</v>
      </c>
      <c r="J44" s="207">
        <f t="shared" ref="J44:J56" si="5">G26/1000</f>
        <v>13026.22603</v>
      </c>
      <c r="K44" s="207">
        <f t="shared" ref="K44:K58" si="6">H3/1000</f>
        <v>11778.39086</v>
      </c>
      <c r="L44" s="207">
        <f t="shared" ref="L44:L58" si="7">K26/1000</f>
        <v>12114.356</v>
      </c>
      <c r="M44" s="207">
        <f>SUMIF('eskom production 2009-YTD'!$A$5:$A$32,B44,'eskom production 2009-YTD'!$R$5:$R$32)/1000</f>
        <v>12020.37225</v>
      </c>
      <c r="N44" s="207">
        <f t="shared" ref="N44:N58" si="8">L3/1000</f>
        <v>10863.284970000001</v>
      </c>
      <c r="O44" s="207">
        <f>SUMIF('eskom production 2009-YTD'!$A$5:$A$32,B44,'eskom production 2009-YTD'!$Q$5:$Q$32)/1000</f>
        <v>10349.60125</v>
      </c>
      <c r="P44" s="206">
        <f t="shared" ref="P44:P56" si="9">L44/J44</f>
        <v>0.92999737392089454</v>
      </c>
      <c r="Q44" s="206">
        <f t="shared" ref="Q44:Q58" si="10">N44/K44</f>
        <v>0.92230637437005558</v>
      </c>
    </row>
    <row r="45" spans="1:17" ht="13.5" thickBot="1" x14ac:dyDescent="0.25">
      <c r="A45" s="209" t="s">
        <v>470</v>
      </c>
      <c r="B45" s="200" t="s">
        <v>470</v>
      </c>
      <c r="C45" s="207">
        <f t="shared" si="0"/>
        <v>1450</v>
      </c>
      <c r="D45" s="207">
        <f t="shared" si="1"/>
        <v>1520</v>
      </c>
      <c r="E45" s="207">
        <f t="shared" si="2"/>
        <v>1520</v>
      </c>
      <c r="F45" s="207">
        <f>SUMIF('eskom production 2009-YTD'!$A$135:$A$148,B45,'eskom production 2009-YTD'!$B$135:$B$148)</f>
        <v>1600</v>
      </c>
      <c r="G45" s="207">
        <v>1481</v>
      </c>
      <c r="H45" s="207">
        <f t="shared" si="3"/>
        <v>1451</v>
      </c>
      <c r="I45" s="206">
        <f t="shared" si="4"/>
        <v>1.0006896551724138</v>
      </c>
      <c r="J45" s="207">
        <f t="shared" si="5"/>
        <v>8902.1479999999992</v>
      </c>
      <c r="K45" s="207">
        <f t="shared" si="6"/>
        <v>8127.6759699999993</v>
      </c>
      <c r="L45" s="207">
        <f t="shared" si="7"/>
        <v>8261.6343799999995</v>
      </c>
      <c r="M45" s="207">
        <f>SUMIF('eskom production 2009-YTD'!$A$5:$A$32,B45,'eskom production 2009-YTD'!$R$5:$R$32)/1000</f>
        <v>8101.7537499999999</v>
      </c>
      <c r="N45" s="207">
        <f t="shared" si="8"/>
        <v>7486.7096500000007</v>
      </c>
      <c r="O45" s="207">
        <f>SUMIF('eskom production 2009-YTD'!$A$5:$A$32,B45,'eskom production 2009-YTD'!$Q$5:$Q$32)/1000</f>
        <v>7024.3787499999999</v>
      </c>
      <c r="P45" s="206">
        <f t="shared" si="9"/>
        <v>0.92804954264970663</v>
      </c>
      <c r="Q45" s="206">
        <f t="shared" si="10"/>
        <v>0.92113781081260326</v>
      </c>
    </row>
    <row r="46" spans="1:17" ht="15.75" thickBot="1" x14ac:dyDescent="0.3">
      <c r="A46" s="209" t="s">
        <v>466</v>
      </c>
      <c r="B46" s="200" t="s">
        <v>466</v>
      </c>
      <c r="C46" s="207">
        <f t="shared" si="0"/>
        <v>3450</v>
      </c>
      <c r="D46" s="207">
        <f t="shared" si="1"/>
        <v>3450</v>
      </c>
      <c r="E46" s="210">
        <f t="shared" si="2"/>
        <v>2900</v>
      </c>
      <c r="F46" s="207">
        <f>SUMIF('eskom production 2009-YTD'!$A$135:$A$148,B46,'eskom production 2009-YTD'!$B$135:$B$148)</f>
        <v>3450</v>
      </c>
      <c r="G46" s="207">
        <v>2875</v>
      </c>
      <c r="H46" s="207">
        <f t="shared" si="3"/>
        <v>2645</v>
      </c>
      <c r="I46" s="206">
        <f t="shared" si="4"/>
        <v>0.76666666666666672</v>
      </c>
      <c r="J46" s="207">
        <f t="shared" si="5"/>
        <v>18131.754000000001</v>
      </c>
      <c r="K46" s="207">
        <f t="shared" si="6"/>
        <v>11698.00035</v>
      </c>
      <c r="L46" s="207">
        <f t="shared" si="7"/>
        <v>17061.788</v>
      </c>
      <c r="M46" s="207">
        <f>SUMIF('eskom production 2009-YTD'!$A$5:$A$32,B46,'eskom production 2009-YTD'!$R$5:$R$32)/1000</f>
        <v>17449.587749999999</v>
      </c>
      <c r="N46" s="207">
        <f t="shared" si="8"/>
        <v>10611.909509999999</v>
      </c>
      <c r="O46" s="207">
        <f>SUMIF('eskom production 2009-YTD'!$A$5:$A$32,B46,'eskom production 2009-YTD'!$Q$5:$Q$32)/1000</f>
        <v>13840.51125</v>
      </c>
      <c r="P46" s="206">
        <f t="shared" si="9"/>
        <v>0.94098938249437969</v>
      </c>
      <c r="Q46" s="206">
        <f t="shared" si="10"/>
        <v>0.90715585506030516</v>
      </c>
    </row>
    <row r="47" spans="1:17" ht="15.75" thickBot="1" x14ac:dyDescent="0.3">
      <c r="A47" s="209" t="s">
        <v>405</v>
      </c>
      <c r="B47" s="200" t="s">
        <v>405</v>
      </c>
      <c r="C47" s="207">
        <f t="shared" si="0"/>
        <v>1090</v>
      </c>
      <c r="D47" s="207">
        <f t="shared" si="1"/>
        <v>1130</v>
      </c>
      <c r="E47" s="207">
        <f t="shared" si="2"/>
        <v>1080</v>
      </c>
      <c r="F47" s="210">
        <f>SUMIF('eskom production 2009-YTD'!$A$135:$A$148,B47,'eskom production 2009-YTD'!$B$135:$B$148)</f>
        <v>1200</v>
      </c>
      <c r="G47" s="210">
        <v>570</v>
      </c>
      <c r="H47" s="207">
        <f t="shared" si="3"/>
        <v>1077</v>
      </c>
      <c r="I47" s="206">
        <f t="shared" si="4"/>
        <v>0.98807339449541287</v>
      </c>
      <c r="J47" s="207">
        <f t="shared" si="5"/>
        <v>6232.2528899999998</v>
      </c>
      <c r="K47" s="207">
        <f t="shared" si="6"/>
        <v>2644.7962299999999</v>
      </c>
      <c r="L47" s="207">
        <f t="shared" si="7"/>
        <v>5836.3810000000003</v>
      </c>
      <c r="M47" s="207">
        <f>SUMIF('eskom production 2009-YTD'!$A$5:$A$32,B47,'eskom production 2009-YTD'!$R$5:$R$32)/1000</f>
        <v>5642.1125000000002</v>
      </c>
      <c r="N47" s="207">
        <f t="shared" si="8"/>
        <v>2407.0338999999999</v>
      </c>
      <c r="O47" s="207">
        <f>SUMIF('eskom production 2009-YTD'!$A$5:$A$32,B47,'eskom production 2009-YTD'!$Q$5:$Q$32)/1000</f>
        <v>3607.7220000000002</v>
      </c>
      <c r="P47" s="206">
        <f t="shared" si="9"/>
        <v>0.93648013054232793</v>
      </c>
      <c r="Q47" s="206">
        <f t="shared" si="10"/>
        <v>0.91010183419688251</v>
      </c>
    </row>
    <row r="48" spans="1:17" ht="13.5" thickBot="1" x14ac:dyDescent="0.25">
      <c r="A48" s="209" t="s">
        <v>409</v>
      </c>
      <c r="B48" s="200" t="s">
        <v>409</v>
      </c>
      <c r="C48" s="207">
        <f t="shared" si="0"/>
        <v>1865</v>
      </c>
      <c r="D48" s="207">
        <f t="shared" si="1"/>
        <v>1900</v>
      </c>
      <c r="E48" s="207">
        <f t="shared" si="2"/>
        <v>1900</v>
      </c>
      <c r="F48" s="207">
        <f>SUMIF('eskom production 2009-YTD'!$A$135:$A$148,B48,'eskom production 2009-YTD'!$B$135:$B$148)</f>
        <v>1895</v>
      </c>
      <c r="G48" s="207">
        <v>1293</v>
      </c>
      <c r="H48" s="207">
        <f t="shared" si="3"/>
        <v>1596</v>
      </c>
      <c r="I48" s="206">
        <f t="shared" si="4"/>
        <v>0.85576407506702412</v>
      </c>
      <c r="J48" s="207">
        <f t="shared" si="5"/>
        <v>10695.691490000001</v>
      </c>
      <c r="K48" s="207">
        <f t="shared" si="6"/>
        <v>8601.265800000001</v>
      </c>
      <c r="L48" s="207">
        <f t="shared" si="7"/>
        <v>10022.005999999999</v>
      </c>
      <c r="M48" s="207">
        <f>SUMIF('eskom production 2009-YTD'!$A$5:$A$32,B48,'eskom production 2009-YTD'!$R$5:$R$32)/1000</f>
        <v>9970.107</v>
      </c>
      <c r="N48" s="207">
        <f t="shared" si="8"/>
        <v>7985.0324299999993</v>
      </c>
      <c r="O48" s="207">
        <f>SUMIF('eskom production 2009-YTD'!$A$5:$A$32,B48,'eskom production 2009-YTD'!$Q$5:$Q$32)/1000</f>
        <v>7980.3654999999999</v>
      </c>
      <c r="P48" s="206">
        <f t="shared" si="9"/>
        <v>0.9370133767760721</v>
      </c>
      <c r="Q48" s="206">
        <f t="shared" si="10"/>
        <v>0.928355502047152</v>
      </c>
    </row>
    <row r="49" spans="1:33" ht="13.5" thickBot="1" x14ac:dyDescent="0.25">
      <c r="A49" s="209" t="s">
        <v>455</v>
      </c>
      <c r="B49" s="200" t="s">
        <v>455</v>
      </c>
      <c r="C49" s="207">
        <f t="shared" si="0"/>
        <v>3840</v>
      </c>
      <c r="D49" s="207">
        <f t="shared" si="1"/>
        <v>3840</v>
      </c>
      <c r="E49" s="207">
        <f t="shared" si="2"/>
        <v>3840</v>
      </c>
      <c r="F49" s="207">
        <f>SUMIF('eskom production 2009-YTD'!$A$135:$A$148,B49,'eskom production 2009-YTD'!$B$135:$B$148)</f>
        <v>3840</v>
      </c>
      <c r="G49" s="207">
        <v>3840</v>
      </c>
      <c r="H49" s="207">
        <f t="shared" si="3"/>
        <v>3949</v>
      </c>
      <c r="I49" s="206">
        <f t="shared" si="4"/>
        <v>1.0283854166666666</v>
      </c>
      <c r="J49" s="207">
        <f t="shared" si="5"/>
        <v>28855.8449</v>
      </c>
      <c r="K49" s="207">
        <f t="shared" si="6"/>
        <v>24612.913059999999</v>
      </c>
      <c r="L49" s="207">
        <f t="shared" si="7"/>
        <v>26795.831999999999</v>
      </c>
      <c r="M49" s="207">
        <f>SUMIF('eskom production 2009-YTD'!$A$5:$A$32,B49,'eskom production 2009-YTD'!$R$5:$R$32)/1000</f>
        <v>26476.208999999999</v>
      </c>
      <c r="N49" s="207">
        <f t="shared" si="8"/>
        <v>22694.40797</v>
      </c>
      <c r="O49" s="207">
        <f>SUMIF('eskom production 2009-YTD'!$A$5:$A$32,B49,'eskom production 2009-YTD'!$Q$5:$Q$32)/1000</f>
        <v>24880.333999999999</v>
      </c>
      <c r="P49" s="206">
        <f t="shared" si="9"/>
        <v>0.92861020333526945</v>
      </c>
      <c r="Q49" s="206">
        <f t="shared" si="10"/>
        <v>0.92205290428958275</v>
      </c>
    </row>
    <row r="50" spans="1:33" ht="15.75" thickBot="1" x14ac:dyDescent="0.3">
      <c r="A50" s="209" t="s">
        <v>406</v>
      </c>
      <c r="B50" s="200" t="s">
        <v>406</v>
      </c>
      <c r="C50" s="207">
        <f t="shared" si="0"/>
        <v>791</v>
      </c>
      <c r="D50" s="207">
        <f t="shared" si="1"/>
        <v>1000</v>
      </c>
      <c r="E50" s="210">
        <f t="shared" si="2"/>
        <v>900</v>
      </c>
      <c r="F50" s="207">
        <f>SUMIF('eskom production 2009-YTD'!$A$135:$A$148,B50,'eskom production 2009-YTD'!$B$135:$B$148)</f>
        <v>1000</v>
      </c>
      <c r="G50" s="207">
        <v>410</v>
      </c>
      <c r="H50" s="207">
        <f t="shared" si="3"/>
        <v>757</v>
      </c>
      <c r="I50" s="206">
        <f t="shared" si="4"/>
        <v>0.95701643489254107</v>
      </c>
      <c r="J50" s="207">
        <f t="shared" si="5"/>
        <v>3963.5690399999999</v>
      </c>
      <c r="K50" s="207">
        <f t="shared" si="6"/>
        <v>2318.90587</v>
      </c>
      <c r="L50" s="207">
        <f t="shared" si="7"/>
        <v>3714.5659999999998</v>
      </c>
      <c r="M50" s="207">
        <f>SUMIF('eskom production 2009-YTD'!$A$5:$A$32,B50,'eskom production 2009-YTD'!$R$5:$R$32)/1000</f>
        <v>3677.61175</v>
      </c>
      <c r="N50" s="207">
        <f t="shared" si="8"/>
        <v>2153.5773599999998</v>
      </c>
      <c r="O50" s="207">
        <f>SUMIF('eskom production 2009-YTD'!$A$5:$A$32,B50,'eskom production 2009-YTD'!$Q$5:$Q$32)/1000</f>
        <v>2688.0002500000001</v>
      </c>
      <c r="P50" s="206">
        <f t="shared" si="9"/>
        <v>0.93717706504236897</v>
      </c>
      <c r="Q50" s="206">
        <f t="shared" si="10"/>
        <v>0.92870408750140421</v>
      </c>
    </row>
    <row r="51" spans="1:33" ht="13.5" thickBot="1" x14ac:dyDescent="0.25">
      <c r="A51" s="209" t="s">
        <v>410</v>
      </c>
      <c r="B51" s="200" t="s">
        <v>410</v>
      </c>
      <c r="C51" s="207">
        <f t="shared" si="0"/>
        <v>2850</v>
      </c>
      <c r="D51" s="207">
        <f t="shared" si="1"/>
        <v>2850</v>
      </c>
      <c r="E51" s="207">
        <f t="shared" si="2"/>
        <v>2880</v>
      </c>
      <c r="F51" s="207">
        <f>SUMIF('eskom production 2009-YTD'!$A$135:$A$148,B51,'eskom production 2009-YTD'!$B$135:$B$148)</f>
        <v>2850</v>
      </c>
      <c r="G51" s="207">
        <v>2850</v>
      </c>
      <c r="H51" s="207">
        <f t="shared" si="3"/>
        <v>2580</v>
      </c>
      <c r="I51" s="206">
        <f t="shared" si="4"/>
        <v>0.90526315789473688</v>
      </c>
      <c r="J51" s="207">
        <f t="shared" si="5"/>
        <v>16944.76872</v>
      </c>
      <c r="K51" s="207">
        <f t="shared" si="6"/>
        <v>13465.249300000001</v>
      </c>
      <c r="L51" s="207">
        <f t="shared" si="7"/>
        <v>15721.022000000001</v>
      </c>
      <c r="M51" s="207">
        <f>SUMIF('eskom production 2009-YTD'!$A$5:$A$32,B51,'eskom production 2009-YTD'!$R$5:$R$32)/1000</f>
        <v>16250.308999999999</v>
      </c>
      <c r="N51" s="207">
        <f t="shared" si="8"/>
        <v>12595.076140000001</v>
      </c>
      <c r="O51" s="207">
        <f>SUMIF('eskom production 2009-YTD'!$A$5:$A$32,B51,'eskom production 2009-YTD'!$Q$5:$Q$32)/1000</f>
        <v>12847.198</v>
      </c>
      <c r="P51" s="206">
        <f t="shared" si="9"/>
        <v>0.92778026420888204</v>
      </c>
      <c r="Q51" s="206">
        <f t="shared" si="10"/>
        <v>0.93537637955206665</v>
      </c>
    </row>
    <row r="52" spans="1:33" ht="13.5" thickBot="1" x14ac:dyDescent="0.25">
      <c r="A52" s="209" t="s">
        <v>441</v>
      </c>
      <c r="B52" s="200" t="s">
        <v>441</v>
      </c>
      <c r="C52" s="207">
        <f t="shared" si="0"/>
        <v>3558</v>
      </c>
      <c r="D52" s="207">
        <f t="shared" si="1"/>
        <v>3558</v>
      </c>
      <c r="E52" s="207">
        <f t="shared" si="2"/>
        <v>3540</v>
      </c>
      <c r="F52" s="207">
        <f>SUMIF('eskom production 2009-YTD'!$A$135:$A$148,B52,'eskom production 2009-YTD'!$B$135:$B$148)</f>
        <v>3558</v>
      </c>
      <c r="G52" s="207">
        <v>3558</v>
      </c>
      <c r="H52" s="207">
        <f t="shared" si="3"/>
        <v>3575</v>
      </c>
      <c r="I52" s="206">
        <f t="shared" si="4"/>
        <v>1.0047779651489601</v>
      </c>
      <c r="J52" s="207">
        <f t="shared" si="5"/>
        <v>24333.5736</v>
      </c>
      <c r="K52" s="207">
        <f t="shared" si="6"/>
        <v>20827.205899999997</v>
      </c>
      <c r="L52" s="207">
        <f t="shared" si="7"/>
        <v>22945.066999999999</v>
      </c>
      <c r="M52" s="207">
        <f>SUMIF('eskom production 2009-YTD'!$A$5:$A$32,B52,'eskom production 2009-YTD'!$R$5:$R$32)/1000</f>
        <v>22928.888749999998</v>
      </c>
      <c r="N52" s="207">
        <f t="shared" si="8"/>
        <v>19655.04811</v>
      </c>
      <c r="O52" s="207">
        <f>SUMIF('eskom production 2009-YTD'!$A$5:$A$32,B52,'eskom production 2009-YTD'!$Q$5:$Q$32)/1000</f>
        <v>19219.980500000001</v>
      </c>
      <c r="P52" s="206">
        <f t="shared" si="9"/>
        <v>0.94293864835372965</v>
      </c>
      <c r="Q52" s="206">
        <f t="shared" si="10"/>
        <v>0.94371987314918715</v>
      </c>
    </row>
    <row r="53" spans="1:33" ht="13.5" thickBot="1" x14ac:dyDescent="0.25">
      <c r="A53" s="209" t="s">
        <v>407</v>
      </c>
      <c r="B53" s="200" t="s">
        <v>407</v>
      </c>
      <c r="C53" s="207">
        <f t="shared" si="0"/>
        <v>3843</v>
      </c>
      <c r="D53" s="207">
        <f t="shared" si="1"/>
        <v>3843</v>
      </c>
      <c r="E53" s="207">
        <f>(H72+H73)*1000</f>
        <v>3840</v>
      </c>
      <c r="F53" s="207">
        <f>SUMIF('eskom production 2009-YTD'!$A$135:$A$148,B53,'eskom production 2009-YTD'!$B$135:$B$148)</f>
        <v>3843</v>
      </c>
      <c r="G53" s="207">
        <v>3843</v>
      </c>
      <c r="H53" s="207">
        <f t="shared" si="3"/>
        <v>3814</v>
      </c>
      <c r="I53" s="206">
        <f t="shared" si="4"/>
        <v>0.9924538121259433</v>
      </c>
      <c r="J53" s="207">
        <f t="shared" si="5"/>
        <v>27647.99322</v>
      </c>
      <c r="K53" s="207">
        <f t="shared" si="6"/>
        <v>26301.01413</v>
      </c>
      <c r="L53" s="207">
        <f t="shared" si="7"/>
        <v>25421.527999999998</v>
      </c>
      <c r="M53" s="207">
        <f>SUMIF('eskom production 2009-YTD'!$A$5:$A$32,B53,'eskom production 2009-YTD'!$R$5:$R$32)/1000</f>
        <v>24917.637500000001</v>
      </c>
      <c r="N53" s="207">
        <f t="shared" si="8"/>
        <v>24391.784050000002</v>
      </c>
      <c r="O53" s="207">
        <f>SUMIF('eskom production 2009-YTD'!$A$5:$A$32,B53,'eskom production 2009-YTD'!$Q$5:$Q$32)/1000</f>
        <v>23535.142500000002</v>
      </c>
      <c r="P53" s="206">
        <f t="shared" si="9"/>
        <v>0.91947100094087764</v>
      </c>
      <c r="Q53" s="206">
        <f t="shared" si="10"/>
        <v>0.92740849951400728</v>
      </c>
    </row>
    <row r="54" spans="1:33" ht="15.75" thickBot="1" x14ac:dyDescent="0.3">
      <c r="A54" s="209" t="s">
        <v>434</v>
      </c>
      <c r="B54" s="200" t="s">
        <v>434</v>
      </c>
      <c r="C54" s="207">
        <f t="shared" si="0"/>
        <v>3690</v>
      </c>
      <c r="D54" s="207">
        <f t="shared" si="1"/>
        <v>3690</v>
      </c>
      <c r="E54" s="208">
        <f>H74*1000</f>
        <v>3720</v>
      </c>
      <c r="F54" s="207">
        <f>SUMIF('eskom production 2009-YTD'!$A$135:$A$148,B54,'eskom production 2009-YTD'!$B$135:$B$148)</f>
        <v>3690</v>
      </c>
      <c r="G54" s="207">
        <v>3690</v>
      </c>
      <c r="H54" s="207">
        <f t="shared" si="3"/>
        <v>3723</v>
      </c>
      <c r="I54" s="206">
        <f t="shared" si="4"/>
        <v>1.0089430894308944</v>
      </c>
      <c r="J54" s="207">
        <f t="shared" si="5"/>
        <v>29865.255359999999</v>
      </c>
      <c r="K54" s="207">
        <f t="shared" si="6"/>
        <v>29602.780119999999</v>
      </c>
      <c r="L54" s="207">
        <f t="shared" si="7"/>
        <v>27185.868999999999</v>
      </c>
      <c r="M54" s="207">
        <f>SUMIF('eskom production 2009-YTD'!$A$5:$A$32,B54,'eskom production 2009-YTD'!$R$5:$R$32)/1000</f>
        <v>27010.460999999999</v>
      </c>
      <c r="N54" s="207">
        <f t="shared" si="8"/>
        <v>27016.110720000001</v>
      </c>
      <c r="O54" s="207">
        <f>SUMIF('eskom production 2009-YTD'!$A$5:$A$32,B54,'eskom production 2009-YTD'!$Q$5:$Q$32)/1000</f>
        <v>26179.318749999999</v>
      </c>
      <c r="P54" s="206">
        <f t="shared" si="9"/>
        <v>0.91028416373132259</v>
      </c>
      <c r="Q54" s="206">
        <f t="shared" si="10"/>
        <v>0.91262072719134868</v>
      </c>
    </row>
    <row r="55" spans="1:33" ht="15.75" thickBot="1" x14ac:dyDescent="0.3">
      <c r="A55" s="209" t="s">
        <v>413</v>
      </c>
      <c r="B55" s="200" t="s">
        <v>413</v>
      </c>
      <c r="C55" s="207">
        <f t="shared" si="0"/>
        <v>3450</v>
      </c>
      <c r="D55" s="207">
        <f t="shared" si="1"/>
        <v>3450</v>
      </c>
      <c r="E55" s="208">
        <f>H75*1000</f>
        <v>3480</v>
      </c>
      <c r="F55" s="207">
        <f>SUMIF('eskom production 2009-YTD'!$A$135:$A$148,B55,'eskom production 2009-YTD'!$B$135:$B$148)</f>
        <v>3450</v>
      </c>
      <c r="G55" s="207">
        <v>3450</v>
      </c>
      <c r="H55" s="207">
        <f t="shared" si="3"/>
        <v>3388</v>
      </c>
      <c r="I55" s="206">
        <f t="shared" si="4"/>
        <v>0.98202898550724638</v>
      </c>
      <c r="J55" s="207">
        <f t="shared" si="5"/>
        <v>22765.42929</v>
      </c>
      <c r="K55" s="207">
        <f t="shared" si="6"/>
        <v>20761.5798</v>
      </c>
      <c r="L55" s="207">
        <f t="shared" si="7"/>
        <v>21407.175999999999</v>
      </c>
      <c r="M55" s="207">
        <f>SUMIF('eskom production 2009-YTD'!$A$5:$A$32,B55,'eskom production 2009-YTD'!$R$5:$R$32)/1000</f>
        <v>21617.273000000001</v>
      </c>
      <c r="N55" s="207">
        <f t="shared" si="8"/>
        <v>19543.483479999999</v>
      </c>
      <c r="O55" s="207">
        <f>SUMIF('eskom production 2009-YTD'!$A$5:$A$32,B55,'eskom production 2009-YTD'!$Q$5:$Q$32)/1000</f>
        <v>19564.351500000001</v>
      </c>
      <c r="P55" s="206">
        <f t="shared" si="9"/>
        <v>0.94033702274190667</v>
      </c>
      <c r="Q55" s="206">
        <f t="shared" si="10"/>
        <v>0.94132930481523369</v>
      </c>
    </row>
    <row r="56" spans="1:33" ht="15.75" thickBot="1" x14ac:dyDescent="0.3">
      <c r="A56" s="209" t="s">
        <v>418</v>
      </c>
      <c r="B56" s="200" t="s">
        <v>418</v>
      </c>
      <c r="C56" s="207">
        <f t="shared" si="0"/>
        <v>3510</v>
      </c>
      <c r="D56" s="207">
        <f t="shared" si="1"/>
        <v>3510</v>
      </c>
      <c r="E56" s="208">
        <f>H76*1000</f>
        <v>3540</v>
      </c>
      <c r="F56" s="207">
        <f>SUMIF('eskom production 2009-YTD'!$A$135:$A$148,B56,'eskom production 2009-YTD'!$B$135:$B$148)</f>
        <v>3510</v>
      </c>
      <c r="G56" s="207">
        <v>3510</v>
      </c>
      <c r="H56" s="207">
        <f t="shared" si="3"/>
        <v>3378</v>
      </c>
      <c r="I56" s="206">
        <f t="shared" si="4"/>
        <v>0.96239316239316242</v>
      </c>
      <c r="J56" s="207">
        <f t="shared" si="5"/>
        <v>20747.557000000001</v>
      </c>
      <c r="K56" s="207">
        <f t="shared" si="6"/>
        <v>17465.88077</v>
      </c>
      <c r="L56" s="207">
        <f t="shared" si="7"/>
        <v>19587.286</v>
      </c>
      <c r="M56" s="207">
        <f>SUMIF('eskom production 2009-YTD'!$A$5:$A$32,B56,'eskom production 2009-YTD'!$R$5:$R$32)/1000</f>
        <v>19606.148249999998</v>
      </c>
      <c r="N56" s="207">
        <f t="shared" si="8"/>
        <v>16239.418180000001</v>
      </c>
      <c r="O56" s="207">
        <f>SUMIF('eskom production 2009-YTD'!$A$5:$A$32,B56,'eskom production 2009-YTD'!$Q$5:$Q$32)/1000</f>
        <v>16555.39775</v>
      </c>
      <c r="P56" s="206">
        <f t="shared" si="9"/>
        <v>0.94407674117969642</v>
      </c>
      <c r="Q56" s="206">
        <f t="shared" si="10"/>
        <v>0.9297795166387135</v>
      </c>
    </row>
    <row r="57" spans="1:33" x14ac:dyDescent="0.2">
      <c r="B57" s="200" t="s">
        <v>426</v>
      </c>
      <c r="C57" s="207">
        <f t="shared" si="0"/>
        <v>0</v>
      </c>
      <c r="D57" s="207">
        <f t="shared" si="1"/>
        <v>4500</v>
      </c>
      <c r="E57" s="207"/>
      <c r="F57" s="207"/>
      <c r="G57" s="207">
        <v>2157</v>
      </c>
      <c r="H57" s="207">
        <f t="shared" si="3"/>
        <v>0</v>
      </c>
      <c r="K57" s="207">
        <f t="shared" si="6"/>
        <v>13799.324470000001</v>
      </c>
      <c r="L57" s="207">
        <f t="shared" si="7"/>
        <v>0</v>
      </c>
      <c r="N57" s="207">
        <f t="shared" si="8"/>
        <v>12555.518119999999</v>
      </c>
      <c r="O57" s="207">
        <f>SUMIF('eskom production 2009-YTD'!$A$5:$A$32,B57,'eskom production 2009-YTD'!$Q$5:$Q$32)/1000</f>
        <v>10139.926479999998</v>
      </c>
      <c r="P57" s="206"/>
      <c r="Q57" s="206">
        <f t="shared" si="10"/>
        <v>0.90986469281854621</v>
      </c>
    </row>
    <row r="58" spans="1:33" x14ac:dyDescent="0.2">
      <c r="B58" s="200" t="s">
        <v>513</v>
      </c>
      <c r="C58" s="207">
        <f t="shared" si="0"/>
        <v>0</v>
      </c>
      <c r="D58" s="207">
        <f t="shared" si="1"/>
        <v>4800</v>
      </c>
      <c r="E58" s="207"/>
      <c r="F58" s="207"/>
      <c r="G58" s="207">
        <v>720</v>
      </c>
      <c r="H58" s="207">
        <f t="shared" si="3"/>
        <v>0</v>
      </c>
      <c r="K58" s="207">
        <f t="shared" si="6"/>
        <v>3899.9156400000002</v>
      </c>
      <c r="L58" s="207">
        <f t="shared" si="7"/>
        <v>0</v>
      </c>
      <c r="N58" s="207">
        <f t="shared" si="8"/>
        <v>3497.2460000000001</v>
      </c>
      <c r="O58" s="207">
        <f>SUMIF('eskom production 2009-YTD'!$A$5:$A$32,B58,'eskom production 2009-YTD'!$Q$5:$Q$32)/1000</f>
        <v>1379.5989999999999</v>
      </c>
      <c r="P58" s="206"/>
      <c r="Q58" s="206">
        <f t="shared" si="10"/>
        <v>0.89674914096346969</v>
      </c>
    </row>
    <row r="62" spans="1:33" x14ac:dyDescent="0.2">
      <c r="C62" s="45">
        <v>2012</v>
      </c>
      <c r="D62" s="45">
        <f t="shared" ref="D62:AE62" si="11">C62+1</f>
        <v>2013</v>
      </c>
      <c r="E62" s="45">
        <f t="shared" si="11"/>
        <v>2014</v>
      </c>
      <c r="F62" s="45">
        <f t="shared" si="11"/>
        <v>2015</v>
      </c>
      <c r="G62" s="45">
        <f t="shared" si="11"/>
        <v>2016</v>
      </c>
      <c r="H62" s="45">
        <f t="shared" si="11"/>
        <v>2017</v>
      </c>
      <c r="I62" s="45">
        <f t="shared" si="11"/>
        <v>2018</v>
      </c>
      <c r="J62" s="45">
        <f t="shared" si="11"/>
        <v>2019</v>
      </c>
      <c r="K62" s="45">
        <f t="shared" si="11"/>
        <v>2020</v>
      </c>
      <c r="L62" s="45">
        <f t="shared" si="11"/>
        <v>2021</v>
      </c>
      <c r="M62" s="45">
        <f t="shared" si="11"/>
        <v>2022</v>
      </c>
      <c r="N62" s="45">
        <f t="shared" si="11"/>
        <v>2023</v>
      </c>
      <c r="O62" s="45">
        <f t="shared" si="11"/>
        <v>2024</v>
      </c>
      <c r="P62" s="45">
        <f t="shared" si="11"/>
        <v>2025</v>
      </c>
      <c r="Q62" s="45">
        <f t="shared" si="11"/>
        <v>2026</v>
      </c>
      <c r="R62" s="45">
        <f t="shared" si="11"/>
        <v>2027</v>
      </c>
      <c r="S62" s="45">
        <f t="shared" si="11"/>
        <v>2028</v>
      </c>
      <c r="T62" s="45">
        <f t="shared" si="11"/>
        <v>2029</v>
      </c>
      <c r="U62" s="45">
        <f t="shared" si="11"/>
        <v>2030</v>
      </c>
      <c r="V62" s="45">
        <f t="shared" si="11"/>
        <v>2031</v>
      </c>
      <c r="W62" s="45">
        <f t="shared" si="11"/>
        <v>2032</v>
      </c>
      <c r="X62" s="45">
        <f t="shared" si="11"/>
        <v>2033</v>
      </c>
      <c r="Y62" s="45">
        <f t="shared" si="11"/>
        <v>2034</v>
      </c>
      <c r="Z62" s="45">
        <f t="shared" si="11"/>
        <v>2035</v>
      </c>
      <c r="AA62" s="45">
        <f t="shared" si="11"/>
        <v>2036</v>
      </c>
      <c r="AB62" s="45">
        <f t="shared" si="11"/>
        <v>2037</v>
      </c>
      <c r="AC62" s="45">
        <f t="shared" si="11"/>
        <v>2038</v>
      </c>
      <c r="AD62" s="45">
        <f t="shared" si="11"/>
        <v>2039</v>
      </c>
      <c r="AE62" s="45">
        <f t="shared" si="11"/>
        <v>2040</v>
      </c>
      <c r="AF62" s="45">
        <v>2045</v>
      </c>
      <c r="AG62" s="45">
        <v>2050</v>
      </c>
    </row>
    <row r="63" spans="1:33" x14ac:dyDescent="0.2">
      <c r="A63" s="45" t="s">
        <v>144</v>
      </c>
      <c r="B63" s="45" t="s">
        <v>302</v>
      </c>
      <c r="C63" s="45">
        <v>2.2200000000000002</v>
      </c>
      <c r="D63" s="45">
        <v>2.2200000000000002</v>
      </c>
      <c r="E63" s="45">
        <v>2.2200000000000002</v>
      </c>
      <c r="F63" s="45">
        <v>2.2200000000000002</v>
      </c>
      <c r="G63" s="45">
        <v>2.2200000000000002</v>
      </c>
      <c r="H63" s="45">
        <v>2.2200000000000002</v>
      </c>
      <c r="I63" s="45">
        <v>2.2200000000000002</v>
      </c>
      <c r="J63" s="45">
        <v>2.2200000000000002</v>
      </c>
      <c r="K63" s="45">
        <v>2.2200000000000002</v>
      </c>
      <c r="L63" s="45">
        <v>1.85</v>
      </c>
      <c r="M63" s="45">
        <v>1.85</v>
      </c>
      <c r="N63" s="45">
        <v>1.85</v>
      </c>
      <c r="O63" s="45">
        <v>1.85</v>
      </c>
      <c r="P63" s="45">
        <v>1.85</v>
      </c>
      <c r="Q63" s="45">
        <v>1.1100000000000001</v>
      </c>
      <c r="R63" s="45">
        <v>0.74</v>
      </c>
      <c r="S63" s="45">
        <v>0.74</v>
      </c>
      <c r="T63" s="45">
        <v>0</v>
      </c>
      <c r="U63" s="45">
        <v>0</v>
      </c>
      <c r="V63" s="45">
        <v>0</v>
      </c>
      <c r="W63" s="45">
        <v>0</v>
      </c>
      <c r="X63" s="45">
        <v>0</v>
      </c>
      <c r="Y63" s="45">
        <v>0</v>
      </c>
      <c r="Z63" s="45">
        <v>0</v>
      </c>
      <c r="AA63" s="45">
        <v>0</v>
      </c>
      <c r="AB63" s="45">
        <v>0</v>
      </c>
      <c r="AC63" s="45">
        <v>0</v>
      </c>
      <c r="AD63" s="45">
        <v>0</v>
      </c>
      <c r="AE63" s="45">
        <v>0</v>
      </c>
      <c r="AF63" s="45">
        <v>0</v>
      </c>
      <c r="AG63" s="45">
        <v>0</v>
      </c>
    </row>
    <row r="64" spans="1:33" x14ac:dyDescent="0.2">
      <c r="A64" s="45" t="s">
        <v>144</v>
      </c>
      <c r="B64" s="45" t="s">
        <v>308</v>
      </c>
      <c r="C64" s="45">
        <v>1.52</v>
      </c>
      <c r="D64" s="45">
        <v>1.52</v>
      </c>
      <c r="E64" s="45">
        <v>1.52</v>
      </c>
      <c r="F64" s="45">
        <v>1.52</v>
      </c>
      <c r="G64" s="45">
        <v>1.52</v>
      </c>
      <c r="H64" s="45">
        <v>1.52</v>
      </c>
      <c r="I64" s="45">
        <v>1.52</v>
      </c>
      <c r="J64" s="45">
        <v>1.52</v>
      </c>
      <c r="K64" s="45">
        <v>1.52</v>
      </c>
      <c r="L64" s="45">
        <v>1.1399999999999999</v>
      </c>
      <c r="M64" s="45">
        <v>0.76</v>
      </c>
      <c r="N64" s="45">
        <v>0.38</v>
      </c>
      <c r="O64" s="45">
        <v>0</v>
      </c>
      <c r="P64" s="45">
        <v>0</v>
      </c>
      <c r="Q64" s="45">
        <v>0</v>
      </c>
      <c r="R64" s="45">
        <v>0</v>
      </c>
      <c r="S64" s="45">
        <v>0</v>
      </c>
      <c r="T64" s="45">
        <v>0</v>
      </c>
      <c r="U64" s="45">
        <v>0</v>
      </c>
      <c r="V64" s="45">
        <v>0</v>
      </c>
      <c r="W64" s="45">
        <v>0</v>
      </c>
      <c r="X64" s="45">
        <v>0</v>
      </c>
      <c r="Y64" s="45">
        <v>0</v>
      </c>
      <c r="Z64" s="45">
        <v>0</v>
      </c>
      <c r="AA64" s="45">
        <v>0</v>
      </c>
      <c r="AB64" s="45">
        <v>0</v>
      </c>
      <c r="AC64" s="45">
        <v>0</v>
      </c>
      <c r="AD64" s="45">
        <v>0</v>
      </c>
      <c r="AE64" s="45">
        <v>0</v>
      </c>
      <c r="AF64" s="45">
        <v>0</v>
      </c>
      <c r="AG64" s="45">
        <v>0</v>
      </c>
    </row>
    <row r="65" spans="1:37" x14ac:dyDescent="0.2">
      <c r="A65" s="45" t="s">
        <v>144</v>
      </c>
      <c r="B65" s="45" t="s">
        <v>300</v>
      </c>
      <c r="C65" s="45">
        <v>3.48</v>
      </c>
      <c r="D65" s="45">
        <v>3.48</v>
      </c>
      <c r="E65" s="45">
        <v>3.48</v>
      </c>
      <c r="F65" s="45">
        <v>3.48</v>
      </c>
      <c r="G65" s="45">
        <v>2.9</v>
      </c>
      <c r="H65" s="45">
        <v>2.9</v>
      </c>
      <c r="I65" s="45">
        <v>2.9</v>
      </c>
      <c r="J65" s="45">
        <v>2.9</v>
      </c>
      <c r="K65" s="45">
        <v>2.9</v>
      </c>
      <c r="L65" s="45">
        <v>2.9</v>
      </c>
      <c r="M65" s="45">
        <v>2.9</v>
      </c>
      <c r="N65" s="45">
        <v>2.9</v>
      </c>
      <c r="O65" s="45">
        <v>2.9</v>
      </c>
      <c r="P65" s="45">
        <v>2.9</v>
      </c>
      <c r="Q65" s="45">
        <v>2.9</v>
      </c>
      <c r="R65" s="45">
        <v>2.9</v>
      </c>
      <c r="S65" s="45">
        <v>2.9</v>
      </c>
      <c r="T65" s="45">
        <v>2.9</v>
      </c>
      <c r="U65" s="45">
        <v>2.4167000000000001</v>
      </c>
      <c r="V65" s="45">
        <v>1.9333</v>
      </c>
      <c r="W65" s="45">
        <v>1.45</v>
      </c>
      <c r="X65" s="45">
        <v>0.9667</v>
      </c>
      <c r="Y65" s="45">
        <v>0</v>
      </c>
      <c r="Z65" s="45">
        <v>0</v>
      </c>
      <c r="AA65" s="45">
        <v>0</v>
      </c>
      <c r="AB65" s="45">
        <v>0</v>
      </c>
      <c r="AC65" s="45">
        <v>0</v>
      </c>
      <c r="AD65" s="45">
        <v>0</v>
      </c>
      <c r="AE65" s="45">
        <v>0</v>
      </c>
      <c r="AF65" s="45">
        <v>0</v>
      </c>
      <c r="AG65" s="45">
        <v>0</v>
      </c>
    </row>
    <row r="66" spans="1:37" x14ac:dyDescent="0.2">
      <c r="A66" s="45" t="s">
        <v>144</v>
      </c>
      <c r="B66" s="45" t="s">
        <v>306</v>
      </c>
      <c r="C66" s="45">
        <v>1.08</v>
      </c>
      <c r="D66" s="45">
        <v>1.08</v>
      </c>
      <c r="E66" s="45">
        <v>1.08</v>
      </c>
      <c r="F66" s="45">
        <v>1.08</v>
      </c>
      <c r="G66" s="45">
        <v>1.08</v>
      </c>
      <c r="H66" s="45">
        <v>1.08</v>
      </c>
      <c r="I66" s="45">
        <v>0.54</v>
      </c>
      <c r="J66" s="45">
        <v>0.18</v>
      </c>
      <c r="K66" s="45">
        <v>0</v>
      </c>
      <c r="L66" s="45">
        <v>0</v>
      </c>
      <c r="M66" s="45">
        <v>0</v>
      </c>
      <c r="N66" s="45">
        <v>0</v>
      </c>
      <c r="O66" s="45">
        <v>0</v>
      </c>
      <c r="P66" s="45">
        <v>0</v>
      </c>
      <c r="Q66" s="45">
        <v>0</v>
      </c>
      <c r="R66" s="45">
        <v>0</v>
      </c>
      <c r="S66" s="45">
        <v>0</v>
      </c>
      <c r="T66" s="45">
        <v>0</v>
      </c>
      <c r="U66" s="45">
        <v>0</v>
      </c>
      <c r="V66" s="45">
        <v>0</v>
      </c>
      <c r="W66" s="45">
        <v>0</v>
      </c>
      <c r="X66" s="45">
        <v>0</v>
      </c>
      <c r="Y66" s="45">
        <v>0</v>
      </c>
      <c r="Z66" s="45">
        <v>0</v>
      </c>
      <c r="AA66" s="45">
        <v>0</v>
      </c>
      <c r="AB66" s="45">
        <v>0</v>
      </c>
      <c r="AC66" s="45">
        <v>0</v>
      </c>
      <c r="AD66" s="45">
        <v>0</v>
      </c>
      <c r="AE66" s="45">
        <v>0</v>
      </c>
      <c r="AF66" s="45">
        <v>0</v>
      </c>
      <c r="AG66" s="45">
        <v>0</v>
      </c>
    </row>
    <row r="67" spans="1:37" x14ac:dyDescent="0.2">
      <c r="A67" s="45" t="s">
        <v>144</v>
      </c>
      <c r="B67" s="45" t="s">
        <v>298</v>
      </c>
      <c r="C67" s="45">
        <v>1.9</v>
      </c>
      <c r="D67" s="45">
        <v>1.9</v>
      </c>
      <c r="E67" s="45">
        <v>1.9</v>
      </c>
      <c r="F67" s="45">
        <v>1.9</v>
      </c>
      <c r="G67" s="45">
        <v>1.9</v>
      </c>
      <c r="H67" s="45">
        <v>1.9</v>
      </c>
      <c r="I67" s="45">
        <v>1.33</v>
      </c>
      <c r="J67" s="45">
        <v>0.95</v>
      </c>
      <c r="K67" s="45">
        <v>0.56999999999999995</v>
      </c>
      <c r="L67" s="45">
        <v>0.19</v>
      </c>
      <c r="M67" s="45">
        <v>0</v>
      </c>
      <c r="N67" s="45">
        <v>0</v>
      </c>
      <c r="O67" s="45">
        <v>0</v>
      </c>
      <c r="P67" s="45">
        <v>0</v>
      </c>
      <c r="Q67" s="45">
        <v>0</v>
      </c>
      <c r="R67" s="45">
        <v>0</v>
      </c>
      <c r="S67" s="45">
        <v>0</v>
      </c>
      <c r="T67" s="45">
        <v>0</v>
      </c>
      <c r="U67" s="45">
        <v>0</v>
      </c>
      <c r="V67" s="45">
        <v>0</v>
      </c>
      <c r="W67" s="45">
        <v>0</v>
      </c>
      <c r="X67" s="45">
        <v>0</v>
      </c>
      <c r="Y67" s="45">
        <v>0</v>
      </c>
      <c r="Z67" s="45">
        <v>0</v>
      </c>
      <c r="AA67" s="45">
        <v>0</v>
      </c>
      <c r="AB67" s="45">
        <v>0</v>
      </c>
      <c r="AC67" s="45">
        <v>0</v>
      </c>
      <c r="AD67" s="45">
        <v>0</v>
      </c>
      <c r="AE67" s="45">
        <v>0</v>
      </c>
      <c r="AF67" s="45">
        <v>0</v>
      </c>
      <c r="AG67" s="45">
        <v>0</v>
      </c>
    </row>
    <row r="68" spans="1:37" x14ac:dyDescent="0.2">
      <c r="A68" s="45" t="s">
        <v>144</v>
      </c>
      <c r="B68" s="45" t="s">
        <v>296</v>
      </c>
      <c r="C68" s="45">
        <v>3.84</v>
      </c>
      <c r="D68" s="45">
        <v>3.84</v>
      </c>
      <c r="E68" s="45">
        <v>3.84</v>
      </c>
      <c r="F68" s="45">
        <v>3.84</v>
      </c>
      <c r="G68" s="45">
        <v>3.84</v>
      </c>
      <c r="H68" s="45">
        <v>3.84</v>
      </c>
      <c r="I68" s="45">
        <v>3.84</v>
      </c>
      <c r="J68" s="45">
        <v>3.84</v>
      </c>
      <c r="K68" s="45">
        <v>3.84</v>
      </c>
      <c r="L68" s="45">
        <v>3.84</v>
      </c>
      <c r="M68" s="45">
        <v>3.84</v>
      </c>
      <c r="N68" s="45">
        <v>3.84</v>
      </c>
      <c r="O68" s="45">
        <v>3.84</v>
      </c>
      <c r="P68" s="45">
        <v>3.84</v>
      </c>
      <c r="Q68" s="45">
        <v>3.84</v>
      </c>
      <c r="R68" s="45">
        <v>3.84</v>
      </c>
      <c r="S68" s="45">
        <v>3.84</v>
      </c>
      <c r="T68" s="45">
        <v>3.84</v>
      </c>
      <c r="U68" s="45">
        <v>3.84</v>
      </c>
      <c r="V68" s="45">
        <v>3.84</v>
      </c>
      <c r="W68" s="45">
        <v>3.84</v>
      </c>
      <c r="X68" s="45">
        <v>3.84</v>
      </c>
      <c r="Y68" s="45">
        <v>3.84</v>
      </c>
      <c r="Z68" s="45">
        <v>3.84</v>
      </c>
      <c r="AA68" s="45">
        <v>3.84</v>
      </c>
      <c r="AB68" s="45">
        <v>3.84</v>
      </c>
      <c r="AC68" s="45">
        <v>3.2</v>
      </c>
      <c r="AD68" s="45">
        <v>2.56</v>
      </c>
      <c r="AE68" s="45">
        <v>1.92</v>
      </c>
      <c r="AF68" s="45">
        <v>0</v>
      </c>
      <c r="AG68" s="45">
        <v>0</v>
      </c>
    </row>
    <row r="69" spans="1:37" x14ac:dyDescent="0.2">
      <c r="A69" s="45" t="s">
        <v>144</v>
      </c>
      <c r="B69" s="45" t="s">
        <v>304</v>
      </c>
      <c r="C69" s="45">
        <v>0.8</v>
      </c>
      <c r="D69" s="45">
        <v>0.9</v>
      </c>
      <c r="E69" s="45">
        <v>0.9</v>
      </c>
      <c r="F69" s="45">
        <v>0.9</v>
      </c>
      <c r="G69" s="45">
        <v>0.9</v>
      </c>
      <c r="H69" s="45">
        <v>0.9</v>
      </c>
      <c r="I69" s="45">
        <v>0.4</v>
      </c>
      <c r="J69" s="45">
        <v>0.1</v>
      </c>
      <c r="K69" s="45">
        <v>0</v>
      </c>
      <c r="L69" s="45">
        <v>0</v>
      </c>
      <c r="M69" s="45">
        <v>0</v>
      </c>
      <c r="N69" s="45">
        <v>0</v>
      </c>
      <c r="O69" s="45">
        <v>0</v>
      </c>
      <c r="P69" s="45">
        <v>0</v>
      </c>
      <c r="Q69" s="45">
        <v>0</v>
      </c>
      <c r="R69" s="45">
        <v>0</v>
      </c>
      <c r="S69" s="45">
        <v>0</v>
      </c>
      <c r="T69" s="45">
        <v>0</v>
      </c>
      <c r="U69" s="45">
        <v>0</v>
      </c>
      <c r="V69" s="45">
        <v>0</v>
      </c>
      <c r="W69" s="45">
        <v>0</v>
      </c>
      <c r="X69" s="45">
        <v>0</v>
      </c>
      <c r="Y69" s="45">
        <v>0</v>
      </c>
      <c r="Z69" s="45">
        <v>0</v>
      </c>
      <c r="AA69" s="45">
        <v>0</v>
      </c>
      <c r="AB69" s="45">
        <v>0</v>
      </c>
      <c r="AC69" s="45">
        <v>0</v>
      </c>
      <c r="AD69" s="45">
        <v>0</v>
      </c>
      <c r="AE69" s="45">
        <v>0</v>
      </c>
      <c r="AF69" s="45">
        <v>0</v>
      </c>
      <c r="AG69" s="45">
        <v>0</v>
      </c>
    </row>
    <row r="70" spans="1:37" x14ac:dyDescent="0.2">
      <c r="A70" s="45" t="s">
        <v>144</v>
      </c>
      <c r="B70" s="45" t="s">
        <v>294</v>
      </c>
      <c r="C70" s="45">
        <v>2.88</v>
      </c>
      <c r="D70" s="45">
        <v>2.88</v>
      </c>
      <c r="E70" s="45">
        <v>2.88</v>
      </c>
      <c r="F70" s="45">
        <v>2.88</v>
      </c>
      <c r="G70" s="45">
        <v>2.88</v>
      </c>
      <c r="H70" s="45">
        <v>2.88</v>
      </c>
      <c r="I70" s="45">
        <v>2.88</v>
      </c>
      <c r="J70" s="45">
        <v>2.88</v>
      </c>
      <c r="K70" s="45">
        <v>2.88</v>
      </c>
      <c r="L70" s="45">
        <v>2.88</v>
      </c>
      <c r="M70" s="45">
        <v>2.88</v>
      </c>
      <c r="N70" s="45">
        <v>2.88</v>
      </c>
      <c r="O70" s="45">
        <v>2.88</v>
      </c>
      <c r="P70" s="45">
        <v>2.88</v>
      </c>
      <c r="Q70" s="45">
        <v>2.4</v>
      </c>
      <c r="R70" s="45">
        <v>1.92</v>
      </c>
      <c r="S70" s="45">
        <v>0.96</v>
      </c>
      <c r="T70" s="45">
        <v>0</v>
      </c>
      <c r="U70" s="45">
        <v>0</v>
      </c>
      <c r="V70" s="45">
        <v>0</v>
      </c>
      <c r="W70" s="45">
        <v>0</v>
      </c>
      <c r="X70" s="45">
        <v>0</v>
      </c>
      <c r="Y70" s="45">
        <v>0</v>
      </c>
      <c r="Z70" s="45">
        <v>0</v>
      </c>
      <c r="AA70" s="45">
        <v>0</v>
      </c>
      <c r="AB70" s="45">
        <v>0</v>
      </c>
      <c r="AC70" s="45">
        <v>0</v>
      </c>
      <c r="AD70" s="45">
        <v>0</v>
      </c>
      <c r="AE70" s="45">
        <v>0</v>
      </c>
      <c r="AF70" s="45">
        <v>0</v>
      </c>
      <c r="AG70" s="45">
        <v>0</v>
      </c>
    </row>
    <row r="71" spans="1:37" x14ac:dyDescent="0.2">
      <c r="A71" s="45" t="s">
        <v>144</v>
      </c>
      <c r="B71" s="45" t="s">
        <v>292</v>
      </c>
      <c r="C71" s="45">
        <v>3.54</v>
      </c>
      <c r="D71" s="45">
        <v>3.54</v>
      </c>
      <c r="E71" s="45">
        <v>3.54</v>
      </c>
      <c r="F71" s="45">
        <v>3.54</v>
      </c>
      <c r="G71" s="45">
        <v>3.54</v>
      </c>
      <c r="H71" s="45">
        <v>3.54</v>
      </c>
      <c r="I71" s="45">
        <v>3.54</v>
      </c>
      <c r="J71" s="45">
        <v>3.54</v>
      </c>
      <c r="K71" s="45">
        <v>3.54</v>
      </c>
      <c r="L71" s="45">
        <v>3.54</v>
      </c>
      <c r="M71" s="45">
        <v>3.54</v>
      </c>
      <c r="N71" s="45">
        <v>3.54</v>
      </c>
      <c r="O71" s="45">
        <v>3.54</v>
      </c>
      <c r="P71" s="45">
        <v>3.54</v>
      </c>
      <c r="Q71" s="45">
        <v>3.54</v>
      </c>
      <c r="R71" s="45">
        <v>3.54</v>
      </c>
      <c r="S71" s="45">
        <v>3.54</v>
      </c>
      <c r="T71" s="45">
        <v>3.54</v>
      </c>
      <c r="U71" s="45">
        <v>3.54</v>
      </c>
      <c r="V71" s="45">
        <v>3.54</v>
      </c>
      <c r="W71" s="45">
        <v>3.54</v>
      </c>
      <c r="X71" s="45">
        <v>3.54</v>
      </c>
      <c r="Y71" s="45">
        <v>3.54</v>
      </c>
      <c r="Z71" s="45">
        <v>2.95</v>
      </c>
      <c r="AA71" s="45">
        <v>2.36</v>
      </c>
      <c r="AB71" s="45">
        <v>1.77</v>
      </c>
      <c r="AC71" s="45">
        <v>1.18</v>
      </c>
      <c r="AD71" s="45">
        <v>0.59</v>
      </c>
      <c r="AE71" s="45">
        <v>0</v>
      </c>
      <c r="AF71" s="45">
        <v>0</v>
      </c>
      <c r="AG71" s="45">
        <v>0</v>
      </c>
    </row>
    <row r="72" spans="1:37" x14ac:dyDescent="0.2">
      <c r="A72" s="45" t="s">
        <v>144</v>
      </c>
      <c r="B72" s="45" t="s">
        <v>290</v>
      </c>
      <c r="C72" s="45">
        <v>1.83</v>
      </c>
      <c r="D72" s="45">
        <v>1.83</v>
      </c>
      <c r="E72" s="45">
        <v>1.83</v>
      </c>
      <c r="F72" s="45">
        <v>1.83</v>
      </c>
      <c r="G72" s="45">
        <v>1.83</v>
      </c>
      <c r="H72" s="45">
        <v>1.83</v>
      </c>
      <c r="I72" s="45">
        <v>1.83</v>
      </c>
      <c r="J72" s="45">
        <v>1.83</v>
      </c>
      <c r="K72" s="45">
        <v>1.83</v>
      </c>
      <c r="L72" s="45">
        <v>1.83</v>
      </c>
      <c r="M72" s="45">
        <v>1.83</v>
      </c>
      <c r="N72" s="45">
        <v>1.83</v>
      </c>
      <c r="O72" s="45">
        <v>1.83</v>
      </c>
      <c r="P72" s="45">
        <v>1.83</v>
      </c>
      <c r="Q72" s="45">
        <v>1.83</v>
      </c>
      <c r="R72" s="45">
        <v>1.83</v>
      </c>
      <c r="S72" s="45">
        <v>1.83</v>
      </c>
      <c r="T72" s="45">
        <v>1.83</v>
      </c>
      <c r="U72" s="45">
        <v>1.83</v>
      </c>
      <c r="V72" s="45">
        <v>1.83</v>
      </c>
      <c r="W72" s="45">
        <v>1.83</v>
      </c>
      <c r="X72" s="45">
        <v>1.83</v>
      </c>
      <c r="Y72" s="45">
        <v>1.83</v>
      </c>
      <c r="Z72" s="45">
        <v>1.83</v>
      </c>
      <c r="AA72" s="45">
        <v>1.83</v>
      </c>
      <c r="AB72" s="45">
        <v>1.83</v>
      </c>
      <c r="AC72" s="45">
        <v>1.83</v>
      </c>
      <c r="AD72" s="45">
        <v>1.83</v>
      </c>
      <c r="AE72" s="45">
        <v>1.83</v>
      </c>
      <c r="AF72" s="45">
        <v>1.83</v>
      </c>
      <c r="AG72" s="45">
        <v>0</v>
      </c>
    </row>
    <row r="73" spans="1:37" x14ac:dyDescent="0.2">
      <c r="A73" s="45" t="s">
        <v>144</v>
      </c>
      <c r="B73" s="45" t="s">
        <v>288</v>
      </c>
      <c r="C73" s="45">
        <v>2.0099999999999998</v>
      </c>
      <c r="D73" s="45">
        <v>2.0099999999999998</v>
      </c>
      <c r="E73" s="45">
        <v>2.0099999999999998</v>
      </c>
      <c r="F73" s="45">
        <v>2.0099999999999998</v>
      </c>
      <c r="G73" s="45">
        <v>2.0099999999999998</v>
      </c>
      <c r="H73" s="45">
        <v>2.0099999999999998</v>
      </c>
      <c r="I73" s="45">
        <v>2.0099999999999998</v>
      </c>
      <c r="J73" s="45">
        <v>2.0099999999999998</v>
      </c>
      <c r="K73" s="45">
        <v>2.0099999999999998</v>
      </c>
      <c r="L73" s="45">
        <v>2.0099999999999998</v>
      </c>
      <c r="M73" s="45">
        <v>2.0099999999999998</v>
      </c>
      <c r="N73" s="45">
        <v>2.0099999999999998</v>
      </c>
      <c r="O73" s="45">
        <v>2.0099999999999998</v>
      </c>
      <c r="P73" s="45">
        <v>2.0099999999999998</v>
      </c>
      <c r="Q73" s="45">
        <v>2.0099999999999998</v>
      </c>
      <c r="R73" s="45">
        <v>2.0099999999999998</v>
      </c>
      <c r="S73" s="45">
        <v>2.0099999999999998</v>
      </c>
      <c r="T73" s="45">
        <v>2.0099999999999998</v>
      </c>
      <c r="U73" s="45">
        <v>2.0099999999999998</v>
      </c>
      <c r="V73" s="45">
        <v>2.0099999999999998</v>
      </c>
      <c r="W73" s="45">
        <v>2.0099999999999998</v>
      </c>
      <c r="X73" s="45">
        <v>2.0099999999999998</v>
      </c>
      <c r="Y73" s="45">
        <v>2.0099999999999998</v>
      </c>
      <c r="Z73" s="45">
        <v>2.0099999999999998</v>
      </c>
      <c r="AA73" s="45">
        <v>2.0099999999999998</v>
      </c>
      <c r="AB73" s="45">
        <v>2.0099999999999998</v>
      </c>
      <c r="AC73" s="45">
        <v>2.0099999999999998</v>
      </c>
      <c r="AD73" s="45">
        <v>2.0099999999999998</v>
      </c>
      <c r="AE73" s="45">
        <v>2.0099999999999998</v>
      </c>
      <c r="AF73" s="45">
        <v>2.0099999999999998</v>
      </c>
      <c r="AG73" s="45">
        <v>0.67</v>
      </c>
    </row>
    <row r="74" spans="1:37" x14ac:dyDescent="0.2">
      <c r="A74" s="45" t="s">
        <v>144</v>
      </c>
      <c r="B74" s="45" t="s">
        <v>286</v>
      </c>
      <c r="C74" s="45">
        <v>3.72</v>
      </c>
      <c r="D74" s="45">
        <v>3.72</v>
      </c>
      <c r="E74" s="45">
        <v>3.72</v>
      </c>
      <c r="F74" s="45">
        <v>3.72</v>
      </c>
      <c r="G74" s="45">
        <v>3.72</v>
      </c>
      <c r="H74" s="45">
        <v>3.72</v>
      </c>
      <c r="I74" s="45">
        <v>3.72</v>
      </c>
      <c r="J74" s="45">
        <v>3.72</v>
      </c>
      <c r="K74" s="45">
        <v>3.72</v>
      </c>
      <c r="L74" s="45">
        <v>3.72</v>
      </c>
      <c r="M74" s="45">
        <v>3.72</v>
      </c>
      <c r="N74" s="45">
        <v>3.66</v>
      </c>
      <c r="O74" s="45">
        <v>3.66</v>
      </c>
      <c r="P74" s="45">
        <v>3.66</v>
      </c>
      <c r="Q74" s="45">
        <v>3.66</v>
      </c>
      <c r="R74" s="45">
        <v>3.66</v>
      </c>
      <c r="S74" s="45">
        <v>3.66</v>
      </c>
      <c r="T74" s="45">
        <v>3.66</v>
      </c>
      <c r="U74" s="45">
        <v>3.66</v>
      </c>
      <c r="V74" s="45">
        <v>3.66</v>
      </c>
      <c r="W74" s="45">
        <v>3.66</v>
      </c>
      <c r="X74" s="45">
        <v>3.66</v>
      </c>
      <c r="Y74" s="45">
        <v>3.66</v>
      </c>
      <c r="Z74" s="45">
        <v>3.66</v>
      </c>
      <c r="AA74" s="45">
        <v>3.66</v>
      </c>
      <c r="AB74" s="45">
        <v>3.66</v>
      </c>
      <c r="AC74" s="45">
        <v>2.44</v>
      </c>
      <c r="AD74" s="45">
        <v>1.83</v>
      </c>
      <c r="AE74" s="45">
        <v>1.22</v>
      </c>
      <c r="AF74" s="45">
        <v>0</v>
      </c>
      <c r="AG74" s="45">
        <v>0</v>
      </c>
      <c r="AH74" s="45">
        <v>0</v>
      </c>
      <c r="AI74" s="45">
        <v>0</v>
      </c>
      <c r="AJ74" s="45" t="s">
        <v>1086</v>
      </c>
      <c r="AK74" s="45">
        <v>0</v>
      </c>
    </row>
    <row r="75" spans="1:37" x14ac:dyDescent="0.2">
      <c r="A75" s="45" t="s">
        <v>144</v>
      </c>
      <c r="B75" s="45" t="s">
        <v>284</v>
      </c>
      <c r="C75" s="45">
        <v>3.48</v>
      </c>
      <c r="D75" s="45">
        <v>3.48</v>
      </c>
      <c r="E75" s="45">
        <v>3.48</v>
      </c>
      <c r="F75" s="45">
        <v>3.48</v>
      </c>
      <c r="G75" s="45">
        <v>3.48</v>
      </c>
      <c r="H75" s="45">
        <v>3.48</v>
      </c>
      <c r="I75" s="45">
        <v>3.48</v>
      </c>
      <c r="J75" s="45">
        <v>3.48</v>
      </c>
      <c r="K75" s="45">
        <v>3.48</v>
      </c>
      <c r="L75" s="45">
        <v>3.48</v>
      </c>
      <c r="M75" s="45">
        <v>3.48</v>
      </c>
      <c r="N75" s="45">
        <v>3.48</v>
      </c>
      <c r="O75" s="45">
        <v>3.48</v>
      </c>
      <c r="P75" s="45">
        <v>3.48</v>
      </c>
      <c r="Q75" s="45">
        <v>3.48</v>
      </c>
      <c r="R75" s="45">
        <v>3.48</v>
      </c>
      <c r="S75" s="45">
        <v>3.48</v>
      </c>
      <c r="T75" s="45">
        <v>2.9</v>
      </c>
      <c r="U75" s="45">
        <v>2.3199999999999998</v>
      </c>
      <c r="V75" s="45">
        <v>1.74</v>
      </c>
      <c r="W75" s="45">
        <v>1.1599999999999999</v>
      </c>
      <c r="X75" s="45">
        <v>0</v>
      </c>
      <c r="Y75" s="45">
        <v>0</v>
      </c>
      <c r="Z75" s="45">
        <v>0</v>
      </c>
      <c r="AA75" s="45">
        <v>0</v>
      </c>
      <c r="AB75" s="45">
        <v>0</v>
      </c>
      <c r="AC75" s="45">
        <v>0</v>
      </c>
      <c r="AD75" s="45">
        <v>0</v>
      </c>
      <c r="AE75" s="45">
        <v>0</v>
      </c>
      <c r="AF75" s="45">
        <v>0</v>
      </c>
      <c r="AG75" s="45">
        <v>0</v>
      </c>
    </row>
    <row r="76" spans="1:37" x14ac:dyDescent="0.2">
      <c r="A76" s="45" t="s">
        <v>144</v>
      </c>
      <c r="B76" s="45" t="s">
        <v>282</v>
      </c>
      <c r="C76" s="45">
        <v>3.54</v>
      </c>
      <c r="D76" s="45">
        <v>3.54</v>
      </c>
      <c r="E76" s="45">
        <v>3.54</v>
      </c>
      <c r="F76" s="45">
        <v>3.54</v>
      </c>
      <c r="G76" s="45">
        <v>3.54</v>
      </c>
      <c r="H76" s="45">
        <v>3.54</v>
      </c>
      <c r="I76" s="45">
        <v>3.54</v>
      </c>
      <c r="J76" s="45">
        <v>3.54</v>
      </c>
      <c r="K76" s="45">
        <v>3.54</v>
      </c>
      <c r="L76" s="45">
        <v>3.54</v>
      </c>
      <c r="M76" s="45">
        <v>3.54</v>
      </c>
      <c r="N76" s="45">
        <v>3.54</v>
      </c>
      <c r="O76" s="45">
        <v>3.54</v>
      </c>
      <c r="P76" s="45">
        <v>3.54</v>
      </c>
      <c r="Q76" s="45">
        <v>3.54</v>
      </c>
      <c r="R76" s="45">
        <v>3.54</v>
      </c>
      <c r="S76" s="45">
        <v>3.54</v>
      </c>
      <c r="T76" s="45">
        <v>3.54</v>
      </c>
      <c r="U76" s="45">
        <v>3.54</v>
      </c>
      <c r="V76" s="45">
        <v>3.54</v>
      </c>
      <c r="W76" s="45">
        <v>3.54</v>
      </c>
      <c r="X76" s="45">
        <v>3.54</v>
      </c>
      <c r="Y76" s="45">
        <v>3.54</v>
      </c>
      <c r="Z76" s="45">
        <v>2.95</v>
      </c>
      <c r="AA76" s="45">
        <v>2.36</v>
      </c>
      <c r="AB76" s="45">
        <v>1.77</v>
      </c>
      <c r="AC76" s="45">
        <v>1.18</v>
      </c>
      <c r="AD76" s="45">
        <v>0.59</v>
      </c>
      <c r="AE76" s="45">
        <v>0</v>
      </c>
      <c r="AF76" s="45">
        <v>0</v>
      </c>
      <c r="AG76" s="45">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F15D3-6845-4AB3-9360-10B4ACC6264B}">
  <sheetPr codeName="Sheet53">
    <tabColor theme="7"/>
  </sheetPr>
  <dimension ref="B2:T88"/>
  <sheetViews>
    <sheetView workbookViewId="0">
      <selection activeCell="D88" sqref="D88"/>
    </sheetView>
  </sheetViews>
  <sheetFormatPr defaultColWidth="8.85546875" defaultRowHeight="12.75" x14ac:dyDescent="0.2"/>
  <cols>
    <col min="2" max="2" width="28.85546875" bestFit="1" customWidth="1"/>
    <col min="3" max="3" width="12.140625" bestFit="1" customWidth="1"/>
    <col min="4" max="4" width="13.42578125" bestFit="1" customWidth="1"/>
    <col min="14" max="14" width="14.140625" bestFit="1" customWidth="1"/>
  </cols>
  <sheetData>
    <row r="2" spans="2:14" x14ac:dyDescent="0.2">
      <c r="B2" t="s">
        <v>2141</v>
      </c>
      <c r="N2" t="s">
        <v>2142</v>
      </c>
    </row>
    <row r="35" spans="2:20" x14ac:dyDescent="0.2">
      <c r="E35" s="330" t="s">
        <v>2133</v>
      </c>
      <c r="K35" s="330" t="s">
        <v>2136</v>
      </c>
      <c r="N35" s="330" t="s">
        <v>2138</v>
      </c>
      <c r="Q35" s="330" t="s">
        <v>2139</v>
      </c>
    </row>
    <row r="36" spans="2:20" x14ac:dyDescent="0.2">
      <c r="B36" s="330" t="s">
        <v>2130</v>
      </c>
      <c r="C36" s="330" t="s">
        <v>2131</v>
      </c>
      <c r="D36" s="330" t="s">
        <v>2132</v>
      </c>
      <c r="E36" s="330" t="s">
        <v>2134</v>
      </c>
      <c r="F36" s="330" t="s">
        <v>239</v>
      </c>
      <c r="G36" s="330" t="s">
        <v>785</v>
      </c>
      <c r="H36" s="330" t="s">
        <v>2135</v>
      </c>
      <c r="I36" s="330" t="s">
        <v>2137</v>
      </c>
      <c r="J36" s="330" t="s">
        <v>1090</v>
      </c>
      <c r="K36" s="330" t="s">
        <v>2134</v>
      </c>
      <c r="L36" s="330" t="s">
        <v>239</v>
      </c>
      <c r="M36" s="330" t="s">
        <v>785</v>
      </c>
      <c r="N36" t="str">
        <f>K36</f>
        <v>Solar</v>
      </c>
      <c r="O36" t="str">
        <f t="shared" ref="O36:P36" si="0">L36</f>
        <v>Wind</v>
      </c>
      <c r="P36" t="str">
        <f t="shared" si="0"/>
        <v>Gas</v>
      </c>
      <c r="Q36" t="str">
        <f>N36</f>
        <v>Solar</v>
      </c>
      <c r="R36" t="str">
        <f t="shared" ref="R36:S36" si="1">O36</f>
        <v>Wind</v>
      </c>
      <c r="S36" t="str">
        <f t="shared" si="1"/>
        <v>Gas</v>
      </c>
      <c r="T36" s="330" t="s">
        <v>2140</v>
      </c>
    </row>
    <row r="37" spans="2:20" x14ac:dyDescent="0.2">
      <c r="B37" t="s">
        <v>2122</v>
      </c>
      <c r="C37" s="399">
        <v>1550.34</v>
      </c>
      <c r="D37">
        <v>128</v>
      </c>
      <c r="E37" s="388">
        <f>Q37/(8.76*K37)</f>
        <v>117.33333333333336</v>
      </c>
      <c r="F37" s="388">
        <f>R37/(8.76*L37)</f>
        <v>106.66666666666666</v>
      </c>
      <c r="H37">
        <f>D37</f>
        <v>128</v>
      </c>
      <c r="I37" s="384">
        <v>0.5</v>
      </c>
      <c r="J37" s="362">
        <f t="shared" ref="J37:J44" si="2">D37*I37*8.76</f>
        <v>560.64</v>
      </c>
      <c r="K37" s="384">
        <v>0.25</v>
      </c>
      <c r="L37" s="384">
        <v>0.35</v>
      </c>
      <c r="N37" s="400">
        <f>(K37/(K37+L37))</f>
        <v>0.41666666666666669</v>
      </c>
      <c r="O37" s="400">
        <f>1-N37</f>
        <v>0.58333333333333326</v>
      </c>
      <c r="Q37">
        <f>N37*$J37*(1+T37)</f>
        <v>256.96000000000004</v>
      </c>
      <c r="R37">
        <f>O37*$J37*(1+U37)</f>
        <v>327.03999999999996</v>
      </c>
      <c r="T37" s="384">
        <v>0.1</v>
      </c>
    </row>
    <row r="38" spans="2:20" x14ac:dyDescent="0.2">
      <c r="B38" t="s">
        <v>2123</v>
      </c>
      <c r="C38" s="399">
        <v>1462</v>
      </c>
      <c r="D38">
        <v>150</v>
      </c>
      <c r="E38" s="388">
        <f>Q38/(8.76*K38)</f>
        <v>330.00000000000006</v>
      </c>
      <c r="H38">
        <f>D38</f>
        <v>150</v>
      </c>
      <c r="I38" s="384">
        <v>0.5</v>
      </c>
      <c r="J38" s="362">
        <f t="shared" si="2"/>
        <v>657</v>
      </c>
      <c r="K38" s="384">
        <v>0.25</v>
      </c>
      <c r="N38" s="384">
        <v>1</v>
      </c>
      <c r="Q38">
        <f t="shared" ref="Q38:Q39" si="3">N38*$J38*(1+T38)</f>
        <v>722.7</v>
      </c>
      <c r="T38" s="384">
        <v>0.1</v>
      </c>
    </row>
    <row r="39" spans="2:20" x14ac:dyDescent="0.2">
      <c r="B39" t="s">
        <v>2124</v>
      </c>
      <c r="C39" s="399">
        <v>1721.64</v>
      </c>
      <c r="D39">
        <v>75</v>
      </c>
      <c r="E39" s="388">
        <f>Q39/(8.76*K39)</f>
        <v>68.75</v>
      </c>
      <c r="F39" s="388">
        <f>R39/(8.76*L39)</f>
        <v>62.499999999999993</v>
      </c>
      <c r="H39">
        <f>D39</f>
        <v>75</v>
      </c>
      <c r="I39" s="384">
        <v>0.5</v>
      </c>
      <c r="J39" s="362">
        <f t="shared" si="2"/>
        <v>328.5</v>
      </c>
      <c r="K39" s="384">
        <v>0.25</v>
      </c>
      <c r="L39" s="384">
        <v>0.35</v>
      </c>
      <c r="N39" s="400">
        <f>N37</f>
        <v>0.41666666666666669</v>
      </c>
      <c r="O39" s="400">
        <f>O37</f>
        <v>0.58333333333333326</v>
      </c>
      <c r="Q39">
        <f t="shared" si="3"/>
        <v>150.5625</v>
      </c>
      <c r="R39">
        <f>O39*$J39*(1+U39)</f>
        <v>191.62499999999997</v>
      </c>
      <c r="T39" s="384">
        <v>0.1</v>
      </c>
    </row>
    <row r="40" spans="2:20" x14ac:dyDescent="0.2">
      <c r="B40" t="s">
        <v>2125</v>
      </c>
      <c r="C40" s="399">
        <v>1468.87</v>
      </c>
      <c r="D40">
        <v>450</v>
      </c>
      <c r="G40">
        <f>D40</f>
        <v>450</v>
      </c>
      <c r="I40" s="384">
        <v>0.5</v>
      </c>
      <c r="J40" s="362">
        <f t="shared" si="2"/>
        <v>1971</v>
      </c>
      <c r="M40" s="384">
        <v>0.5</v>
      </c>
      <c r="P40" s="384">
        <v>1</v>
      </c>
      <c r="T40" s="384">
        <v>0.1</v>
      </c>
    </row>
    <row r="41" spans="2:20" x14ac:dyDescent="0.2">
      <c r="B41" t="s">
        <v>2126</v>
      </c>
      <c r="C41" s="399">
        <v>1496.03</v>
      </c>
      <c r="D41">
        <v>450</v>
      </c>
      <c r="G41">
        <f>D41</f>
        <v>450</v>
      </c>
      <c r="I41" s="384">
        <v>0.5</v>
      </c>
      <c r="J41" s="362">
        <f t="shared" si="2"/>
        <v>1971</v>
      </c>
      <c r="M41" s="384">
        <v>0.5</v>
      </c>
      <c r="P41" s="384">
        <v>1</v>
      </c>
      <c r="T41" s="384">
        <v>0.1</v>
      </c>
    </row>
    <row r="42" spans="2:20" x14ac:dyDescent="0.2">
      <c r="B42" t="s">
        <v>2127</v>
      </c>
      <c r="C42" s="399">
        <v>1686.48</v>
      </c>
      <c r="D42">
        <v>320</v>
      </c>
      <c r="G42">
        <f>D42</f>
        <v>320</v>
      </c>
      <c r="I42" s="384">
        <v>0.5</v>
      </c>
      <c r="J42" s="362">
        <f t="shared" si="2"/>
        <v>1401.6</v>
      </c>
      <c r="M42" s="384">
        <v>0.5</v>
      </c>
      <c r="P42" s="384">
        <v>1</v>
      </c>
      <c r="T42" s="384">
        <v>0.1</v>
      </c>
    </row>
    <row r="43" spans="2:20" x14ac:dyDescent="0.2">
      <c r="B43" t="s">
        <v>2128</v>
      </c>
      <c r="C43" s="399">
        <v>1885.37</v>
      </c>
      <c r="D43">
        <v>197.76</v>
      </c>
      <c r="G43">
        <f>H43</f>
        <v>98.88</v>
      </c>
      <c r="H43">
        <f>D43/2</f>
        <v>98.88</v>
      </c>
      <c r="I43" s="384">
        <v>0.5</v>
      </c>
      <c r="J43" s="362">
        <f t="shared" si="2"/>
        <v>866.1887999999999</v>
      </c>
      <c r="M43" s="384">
        <v>1</v>
      </c>
      <c r="P43" s="384">
        <v>1</v>
      </c>
      <c r="S43">
        <f>J43/2*(1+T43)+J43/2</f>
        <v>909.4982399999999</v>
      </c>
      <c r="T43" s="384">
        <v>0.1</v>
      </c>
    </row>
    <row r="44" spans="2:20" x14ac:dyDescent="0.2">
      <c r="B44" t="s">
        <v>2129</v>
      </c>
      <c r="C44" s="399">
        <v>1515.97</v>
      </c>
      <c r="D44">
        <v>75</v>
      </c>
      <c r="E44" s="388">
        <f>Q44/(8.76*K44)</f>
        <v>82.500000000000014</v>
      </c>
      <c r="H44">
        <f>D44</f>
        <v>75</v>
      </c>
      <c r="I44" s="384">
        <v>0.5</v>
      </c>
      <c r="J44" s="362">
        <f t="shared" si="2"/>
        <v>328.5</v>
      </c>
      <c r="K44" s="384">
        <v>0.25</v>
      </c>
      <c r="N44" s="384">
        <v>0.5</v>
      </c>
      <c r="P44" s="384">
        <v>0.5</v>
      </c>
      <c r="Q44">
        <f t="shared" ref="Q44" si="4">N44*$J44*(1+T44)</f>
        <v>180.67500000000001</v>
      </c>
      <c r="T44" s="384">
        <v>0.1</v>
      </c>
    </row>
    <row r="46" spans="2:20" x14ac:dyDescent="0.2">
      <c r="B46" s="330" t="s">
        <v>115</v>
      </c>
      <c r="E46" s="388">
        <f>SUM(E37:E44)</f>
        <v>598.58333333333348</v>
      </c>
      <c r="F46" s="388">
        <f t="shared" ref="F46:H46" si="5">SUM(F37:F44)</f>
        <v>169.16666666666666</v>
      </c>
      <c r="G46" s="388">
        <f t="shared" si="5"/>
        <v>1318.88</v>
      </c>
      <c r="H46" s="388">
        <f t="shared" si="5"/>
        <v>526.88</v>
      </c>
    </row>
    <row r="47" spans="2:20" x14ac:dyDescent="0.2">
      <c r="B47" s="330" t="s">
        <v>2143</v>
      </c>
      <c r="D47" s="388">
        <f>H46*0.7+G46</f>
        <v>1687.6960000000001</v>
      </c>
    </row>
    <row r="48" spans="2:20" x14ac:dyDescent="0.2">
      <c r="D48" s="387">
        <f>2.4*0.7</f>
        <v>1.68</v>
      </c>
    </row>
    <row r="52" spans="2:4" x14ac:dyDescent="0.2">
      <c r="B52" s="330" t="s">
        <v>2169</v>
      </c>
      <c r="D52" s="400">
        <v>8.2000000000000003E-2</v>
      </c>
    </row>
    <row r="53" spans="2:4" x14ac:dyDescent="0.2">
      <c r="B53" t="s">
        <v>2163</v>
      </c>
    </row>
    <row r="54" spans="2:4" x14ac:dyDescent="0.2">
      <c r="B54" s="330" t="s">
        <v>2164</v>
      </c>
      <c r="C54" s="330" t="s">
        <v>2171</v>
      </c>
      <c r="D54" s="408">
        <f>ProcDataGen2012On!L27</f>
        <v>19886.750400000004</v>
      </c>
    </row>
    <row r="55" spans="2:4" x14ac:dyDescent="0.2">
      <c r="B55" s="330" t="s">
        <v>1891</v>
      </c>
      <c r="C55" s="330" t="s">
        <v>2171</v>
      </c>
      <c r="D55" s="362">
        <f>ProcDataGen2012On!K27</f>
        <v>597.85599999999999</v>
      </c>
    </row>
    <row r="56" spans="2:4" x14ac:dyDescent="0.2">
      <c r="B56" s="330" t="s">
        <v>154</v>
      </c>
      <c r="D56">
        <f>ProcDataGen2012On!H27</f>
        <v>0.45</v>
      </c>
    </row>
    <row r="57" spans="2:4" x14ac:dyDescent="0.2">
      <c r="B57" s="330" t="s">
        <v>2165</v>
      </c>
      <c r="C57" s="330" t="s">
        <v>122</v>
      </c>
      <c r="D57">
        <v>120</v>
      </c>
    </row>
    <row r="58" spans="2:4" x14ac:dyDescent="0.2">
      <c r="B58" s="330" t="s">
        <v>2166</v>
      </c>
      <c r="D58" s="384">
        <v>0.5</v>
      </c>
    </row>
    <row r="59" spans="2:4" x14ac:dyDescent="0.2">
      <c r="B59" s="330" t="s">
        <v>153</v>
      </c>
      <c r="D59">
        <v>20</v>
      </c>
    </row>
    <row r="60" spans="2:4" x14ac:dyDescent="0.2">
      <c r="B60" s="330" t="s">
        <v>2167</v>
      </c>
      <c r="C60" s="330" t="s">
        <v>2168</v>
      </c>
      <c r="D60" s="387">
        <f>((-PMT(D52,D59,D54,0,1)+D55)/(D58*8.76)+D57/D56*3.6)/1000</f>
        <v>1.5302759187184265</v>
      </c>
    </row>
    <row r="61" spans="2:4" x14ac:dyDescent="0.2">
      <c r="C61" s="330" t="s">
        <v>2170</v>
      </c>
      <c r="D61" s="387">
        <f>D60*1.25</f>
        <v>1.9128448983980331</v>
      </c>
    </row>
    <row r="68" spans="2:13" x14ac:dyDescent="0.2">
      <c r="B68" s="330" t="s">
        <v>2348</v>
      </c>
      <c r="L68" s="330" t="s">
        <v>2359</v>
      </c>
      <c r="M68" s="330" t="s">
        <v>2360</v>
      </c>
    </row>
    <row r="70" spans="2:13" x14ac:dyDescent="0.2">
      <c r="K70" s="330" t="s">
        <v>2355</v>
      </c>
    </row>
    <row r="71" spans="2:13" x14ac:dyDescent="0.2">
      <c r="L71">
        <v>2023</v>
      </c>
      <c r="M71">
        <v>2024</v>
      </c>
    </row>
    <row r="72" spans="2:13" x14ac:dyDescent="0.2">
      <c r="K72" s="330" t="s">
        <v>2356</v>
      </c>
    </row>
    <row r="73" spans="2:13" x14ac:dyDescent="0.2">
      <c r="K73" s="330" t="s">
        <v>2357</v>
      </c>
      <c r="L73">
        <f>E46/1000</f>
        <v>0.59858333333333347</v>
      </c>
      <c r="M73">
        <f>D86/1000</f>
        <v>0.54</v>
      </c>
    </row>
    <row r="74" spans="2:13" x14ac:dyDescent="0.2">
      <c r="K74" s="330" t="s">
        <v>239</v>
      </c>
      <c r="L74">
        <f>F46/1000</f>
        <v>0.16916666666666666</v>
      </c>
    </row>
    <row r="75" spans="2:13" x14ac:dyDescent="0.2">
      <c r="K75" s="330" t="s">
        <v>2358</v>
      </c>
      <c r="L75">
        <f>H46/1000</f>
        <v>0.52688000000000001</v>
      </c>
      <c r="M75">
        <f>D87/1000</f>
        <v>0.22500000000000001</v>
      </c>
    </row>
    <row r="76" spans="2:13" x14ac:dyDescent="0.2">
      <c r="K76" s="330" t="s">
        <v>1838</v>
      </c>
      <c r="L76">
        <f>G43/1000</f>
        <v>9.8879999999999996E-2</v>
      </c>
    </row>
    <row r="86" spans="2:6" x14ac:dyDescent="0.2">
      <c r="B86" s="482" t="s">
        <v>2349</v>
      </c>
      <c r="D86">
        <v>540</v>
      </c>
      <c r="E86" s="330" t="s">
        <v>2350</v>
      </c>
    </row>
    <row r="87" spans="2:6" x14ac:dyDescent="0.2">
      <c r="D87">
        <v>225</v>
      </c>
      <c r="E87" s="330" t="s">
        <v>121</v>
      </c>
      <c r="F87" s="330" t="s">
        <v>2344</v>
      </c>
    </row>
    <row r="88" spans="2:6" x14ac:dyDescent="0.2">
      <c r="D88">
        <v>1140</v>
      </c>
      <c r="E88" s="330" t="s">
        <v>2351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8A9D-E117-4758-8B92-6B3FDD88B0AB}">
  <sheetPr codeName="Sheet20">
    <tabColor theme="7"/>
  </sheetPr>
  <dimension ref="A1:AP164"/>
  <sheetViews>
    <sheetView topLeftCell="A11" workbookViewId="0">
      <selection activeCell="C21" sqref="C21"/>
    </sheetView>
  </sheetViews>
  <sheetFormatPr defaultColWidth="9.140625" defaultRowHeight="12.75" x14ac:dyDescent="0.2"/>
  <cols>
    <col min="1" max="2" width="9.140625" style="45"/>
    <col min="3" max="3" width="28" style="45" customWidth="1"/>
    <col min="4" max="5" width="9.140625" style="45"/>
    <col min="6" max="6" width="17.28515625" style="45" customWidth="1"/>
    <col min="7" max="16384" width="9.140625" style="45"/>
  </cols>
  <sheetData>
    <row r="1" spans="1:27" x14ac:dyDescent="0.2">
      <c r="A1" s="45" t="s">
        <v>2226</v>
      </c>
    </row>
    <row r="4" spans="1:27" x14ac:dyDescent="0.2">
      <c r="C4" s="222" t="s">
        <v>1183</v>
      </c>
      <c r="N4" s="45" t="s">
        <v>2142</v>
      </c>
    </row>
    <row r="5" spans="1:27" x14ac:dyDescent="0.2">
      <c r="D5" s="45">
        <v>2013</v>
      </c>
      <c r="E5" s="45">
        <v>2014</v>
      </c>
      <c r="F5" s="45">
        <v>2015</v>
      </c>
      <c r="G5" s="45">
        <v>2016</v>
      </c>
      <c r="H5" s="45">
        <v>2017</v>
      </c>
      <c r="I5" s="45">
        <v>2018</v>
      </c>
      <c r="J5" s="45">
        <v>2019</v>
      </c>
      <c r="K5" s="45">
        <v>2020</v>
      </c>
      <c r="L5" s="45">
        <v>2021</v>
      </c>
    </row>
    <row r="6" spans="1:27" x14ac:dyDescent="0.2">
      <c r="C6" s="222" t="s">
        <v>115</v>
      </c>
    </row>
    <row r="7" spans="1:27" x14ac:dyDescent="0.2">
      <c r="C7" s="45" t="s">
        <v>239</v>
      </c>
      <c r="D7" s="45">
        <v>257</v>
      </c>
      <c r="E7" s="45">
        <v>560</v>
      </c>
      <c r="F7" s="45">
        <v>1075</v>
      </c>
      <c r="G7" s="45">
        <v>1460</v>
      </c>
      <c r="H7" s="45">
        <v>2080</v>
      </c>
      <c r="I7" s="45">
        <v>2080</v>
      </c>
      <c r="J7" s="45">
        <v>2080</v>
      </c>
      <c r="K7" s="45">
        <v>2495</v>
      </c>
    </row>
    <row r="8" spans="1:27" x14ac:dyDescent="0.2">
      <c r="C8" s="45" t="s">
        <v>1181</v>
      </c>
      <c r="D8" s="45">
        <v>210</v>
      </c>
      <c r="E8" s="45">
        <v>960</v>
      </c>
      <c r="F8" s="45">
        <v>965</v>
      </c>
      <c r="G8" s="45">
        <v>1474</v>
      </c>
      <c r="H8" s="45">
        <v>1474</v>
      </c>
      <c r="I8" s="45">
        <v>1474</v>
      </c>
      <c r="J8" s="45">
        <v>1474</v>
      </c>
      <c r="K8" s="45">
        <v>2032</v>
      </c>
    </row>
    <row r="9" spans="1:27" x14ac:dyDescent="0.2">
      <c r="C9" s="45" t="s">
        <v>1180</v>
      </c>
      <c r="G9" s="45">
        <v>200</v>
      </c>
      <c r="H9" s="45">
        <v>300</v>
      </c>
      <c r="I9" s="45">
        <v>400</v>
      </c>
      <c r="J9" s="45">
        <v>500</v>
      </c>
      <c r="K9" s="45">
        <v>500</v>
      </c>
    </row>
    <row r="10" spans="1:27" x14ac:dyDescent="0.2">
      <c r="C10" s="222" t="s">
        <v>1182</v>
      </c>
    </row>
    <row r="11" spans="1:27" x14ac:dyDescent="0.2">
      <c r="C11" s="45" t="s">
        <v>239</v>
      </c>
      <c r="D11" s="45">
        <f>D7</f>
        <v>257</v>
      </c>
      <c r="E11" s="45">
        <f t="shared" ref="E11:K13" si="0">E7-D7</f>
        <v>303</v>
      </c>
      <c r="F11" s="45">
        <f t="shared" si="0"/>
        <v>515</v>
      </c>
      <c r="G11" s="45">
        <f t="shared" si="0"/>
        <v>385</v>
      </c>
      <c r="H11" s="45">
        <f t="shared" si="0"/>
        <v>620</v>
      </c>
      <c r="I11" s="45">
        <f t="shared" si="0"/>
        <v>0</v>
      </c>
      <c r="J11" s="45">
        <f t="shared" si="0"/>
        <v>0</v>
      </c>
      <c r="K11" s="45">
        <f t="shared" si="0"/>
        <v>415</v>
      </c>
    </row>
    <row r="12" spans="1:27" x14ac:dyDescent="0.2">
      <c r="C12" s="45" t="s">
        <v>1181</v>
      </c>
      <c r="D12" s="45">
        <f>D8</f>
        <v>210</v>
      </c>
      <c r="E12" s="45">
        <f t="shared" si="0"/>
        <v>750</v>
      </c>
      <c r="F12" s="45">
        <f t="shared" si="0"/>
        <v>5</v>
      </c>
      <c r="G12" s="45">
        <f t="shared" si="0"/>
        <v>509</v>
      </c>
      <c r="H12" s="45">
        <f t="shared" si="0"/>
        <v>0</v>
      </c>
      <c r="I12" s="45">
        <f t="shared" si="0"/>
        <v>0</v>
      </c>
      <c r="J12" s="45">
        <f t="shared" si="0"/>
        <v>0</v>
      </c>
      <c r="K12" s="45">
        <f t="shared" si="0"/>
        <v>558</v>
      </c>
    </row>
    <row r="13" spans="1:27" x14ac:dyDescent="0.2">
      <c r="C13" s="45" t="s">
        <v>1180</v>
      </c>
      <c r="D13" s="45">
        <f>D9</f>
        <v>0</v>
      </c>
      <c r="E13" s="45">
        <f t="shared" si="0"/>
        <v>0</v>
      </c>
      <c r="F13" s="45">
        <f t="shared" si="0"/>
        <v>0</v>
      </c>
      <c r="G13" s="45">
        <f t="shared" si="0"/>
        <v>200</v>
      </c>
      <c r="H13" s="45">
        <f t="shared" si="0"/>
        <v>100</v>
      </c>
      <c r="I13" s="45">
        <f t="shared" si="0"/>
        <v>100</v>
      </c>
      <c r="J13" s="45">
        <f t="shared" si="0"/>
        <v>100</v>
      </c>
      <c r="K13" s="45">
        <f t="shared" si="0"/>
        <v>0</v>
      </c>
    </row>
    <row r="15" spans="1:27" x14ac:dyDescent="0.2">
      <c r="AA15" s="45" t="s">
        <v>725</v>
      </c>
    </row>
    <row r="16" spans="1:27" x14ac:dyDescent="0.2">
      <c r="AA16" s="45" t="s">
        <v>1121</v>
      </c>
    </row>
    <row r="17" spans="3:27" x14ac:dyDescent="0.2">
      <c r="AA17" s="45" t="s">
        <v>1120</v>
      </c>
    </row>
    <row r="18" spans="3:27" x14ac:dyDescent="0.2">
      <c r="C18" s="222" t="s">
        <v>1179</v>
      </c>
      <c r="AA18" s="45" t="s">
        <v>1005</v>
      </c>
    </row>
    <row r="19" spans="3:27" x14ac:dyDescent="0.2">
      <c r="C19" s="42" t="s">
        <v>1178</v>
      </c>
    </row>
    <row r="20" spans="3:27" x14ac:dyDescent="0.2">
      <c r="C20" s="45" t="s">
        <v>1177</v>
      </c>
      <c r="D20" s="45" t="s">
        <v>1176</v>
      </c>
      <c r="E20" s="45" t="s">
        <v>1175</v>
      </c>
      <c r="F20" s="45" t="s">
        <v>1174</v>
      </c>
      <c r="G20" s="45" t="s">
        <v>1173</v>
      </c>
      <c r="H20" s="45" t="s">
        <v>1172</v>
      </c>
    </row>
    <row r="21" spans="3:27" x14ac:dyDescent="0.2">
      <c r="C21" s="45" t="s">
        <v>1171</v>
      </c>
      <c r="D21" s="45" t="s">
        <v>725</v>
      </c>
      <c r="E21" s="45">
        <v>40</v>
      </c>
      <c r="F21" s="45" t="s">
        <v>1125</v>
      </c>
      <c r="G21" s="45" t="s">
        <v>1170</v>
      </c>
      <c r="H21" s="45" t="s">
        <v>1123</v>
      </c>
    </row>
    <row r="22" spans="3:27" x14ac:dyDescent="0.2">
      <c r="C22" s="45" t="s">
        <v>1169</v>
      </c>
      <c r="D22" s="45" t="s">
        <v>725</v>
      </c>
      <c r="E22" s="45">
        <v>68</v>
      </c>
      <c r="F22" s="45" t="s">
        <v>1125</v>
      </c>
      <c r="G22" s="45" t="s">
        <v>1168</v>
      </c>
      <c r="H22" s="45" t="s">
        <v>1123</v>
      </c>
    </row>
    <row r="23" spans="3:27" x14ac:dyDescent="0.2">
      <c r="C23" s="45" t="s">
        <v>1167</v>
      </c>
      <c r="D23" s="45" t="s">
        <v>1121</v>
      </c>
      <c r="E23" s="45">
        <v>102</v>
      </c>
      <c r="F23" s="45" t="s">
        <v>1125</v>
      </c>
      <c r="G23" s="45" t="s">
        <v>1157</v>
      </c>
      <c r="H23" s="45" t="s">
        <v>1123</v>
      </c>
    </row>
    <row r="24" spans="3:27" x14ac:dyDescent="0.2">
      <c r="C24" s="45" t="s">
        <v>1166</v>
      </c>
      <c r="D24" s="45" t="s">
        <v>725</v>
      </c>
      <c r="E24" s="45">
        <v>50</v>
      </c>
      <c r="F24" s="45" t="s">
        <v>1125</v>
      </c>
      <c r="G24" s="45" t="s">
        <v>1165</v>
      </c>
      <c r="H24" s="45" t="s">
        <v>1123</v>
      </c>
    </row>
    <row r="25" spans="3:27" x14ac:dyDescent="0.2">
      <c r="C25" s="45" t="s">
        <v>1164</v>
      </c>
      <c r="D25" s="45" t="s">
        <v>725</v>
      </c>
      <c r="E25" s="45">
        <v>75</v>
      </c>
      <c r="F25" s="45" t="s">
        <v>1125</v>
      </c>
      <c r="G25" s="45" t="s">
        <v>1163</v>
      </c>
      <c r="H25" s="45" t="s">
        <v>1123</v>
      </c>
    </row>
    <row r="26" spans="3:27" x14ac:dyDescent="0.2">
      <c r="C26" s="45" t="s">
        <v>1162</v>
      </c>
      <c r="D26" s="45" t="s">
        <v>725</v>
      </c>
      <c r="E26" s="45">
        <v>75</v>
      </c>
      <c r="F26" s="45" t="s">
        <v>1125</v>
      </c>
      <c r="G26" s="45" t="s">
        <v>1134</v>
      </c>
      <c r="H26" s="45" t="s">
        <v>1123</v>
      </c>
    </row>
    <row r="27" spans="3:27" x14ac:dyDescent="0.2">
      <c r="C27" s="45" t="s">
        <v>1161</v>
      </c>
      <c r="D27" s="45" t="s">
        <v>725</v>
      </c>
      <c r="E27" s="45">
        <v>75</v>
      </c>
      <c r="F27" s="45" t="s">
        <v>1125</v>
      </c>
      <c r="G27" s="45" t="s">
        <v>1134</v>
      </c>
      <c r="H27" s="45" t="s">
        <v>1123</v>
      </c>
    </row>
    <row r="28" spans="3:27" x14ac:dyDescent="0.2">
      <c r="C28" s="45" t="s">
        <v>1160</v>
      </c>
      <c r="D28" s="45" t="s">
        <v>1121</v>
      </c>
      <c r="E28" s="45">
        <v>32</v>
      </c>
      <c r="F28" s="45" t="s">
        <v>1125</v>
      </c>
      <c r="G28" s="45" t="s">
        <v>1159</v>
      </c>
      <c r="H28" s="45" t="s">
        <v>1123</v>
      </c>
    </row>
    <row r="29" spans="3:27" x14ac:dyDescent="0.2">
      <c r="C29" s="45" t="s">
        <v>1158</v>
      </c>
      <c r="D29" s="45" t="s">
        <v>1121</v>
      </c>
      <c r="E29" s="45">
        <v>136</v>
      </c>
      <c r="F29" s="45" t="s">
        <v>1125</v>
      </c>
      <c r="G29" s="45" t="s">
        <v>1157</v>
      </c>
      <c r="H29" s="45" t="s">
        <v>1123</v>
      </c>
    </row>
    <row r="30" spans="3:27" x14ac:dyDescent="0.2">
      <c r="C30" s="45" t="s">
        <v>1156</v>
      </c>
      <c r="D30" s="45" t="s">
        <v>1121</v>
      </c>
      <c r="E30" s="45">
        <v>120</v>
      </c>
      <c r="F30" s="45" t="s">
        <v>1125</v>
      </c>
      <c r="G30" s="45" t="s">
        <v>1143</v>
      </c>
      <c r="H30" s="45" t="s">
        <v>1123</v>
      </c>
    </row>
    <row r="31" spans="3:27" x14ac:dyDescent="0.2">
      <c r="C31" s="45" t="s">
        <v>1155</v>
      </c>
      <c r="D31" s="45" t="s">
        <v>725</v>
      </c>
      <c r="E31" s="45">
        <v>55</v>
      </c>
      <c r="F31" s="45" t="s">
        <v>1125</v>
      </c>
      <c r="G31" s="45" t="s">
        <v>1154</v>
      </c>
      <c r="H31" s="45" t="s">
        <v>1123</v>
      </c>
    </row>
    <row r="32" spans="3:27" x14ac:dyDescent="0.2">
      <c r="C32" s="45" t="s">
        <v>1153</v>
      </c>
      <c r="D32" s="45" t="s">
        <v>1121</v>
      </c>
      <c r="E32" s="45">
        <v>137</v>
      </c>
      <c r="F32" s="45" t="s">
        <v>1125</v>
      </c>
      <c r="G32" s="45" t="s">
        <v>1152</v>
      </c>
      <c r="H32" s="45" t="s">
        <v>1138</v>
      </c>
    </row>
    <row r="33" spans="3:42" x14ac:dyDescent="0.2">
      <c r="C33" s="45" t="s">
        <v>1151</v>
      </c>
      <c r="D33" s="45" t="s">
        <v>1121</v>
      </c>
      <c r="E33" s="45">
        <v>140</v>
      </c>
      <c r="F33" s="45" t="s">
        <v>1125</v>
      </c>
      <c r="G33" s="45" t="s">
        <v>1136</v>
      </c>
      <c r="H33" s="45" t="s">
        <v>1123</v>
      </c>
    </row>
    <row r="34" spans="3:42" x14ac:dyDescent="0.2">
      <c r="C34" s="45" t="s">
        <v>1150</v>
      </c>
      <c r="D34" s="45" t="s">
        <v>725</v>
      </c>
      <c r="E34" s="45">
        <v>75</v>
      </c>
      <c r="F34" s="45" t="s">
        <v>1125</v>
      </c>
      <c r="G34" s="45" t="s">
        <v>1149</v>
      </c>
      <c r="H34" s="45" t="s">
        <v>1123</v>
      </c>
    </row>
    <row r="35" spans="3:42" x14ac:dyDescent="0.2">
      <c r="C35" s="45" t="s">
        <v>1148</v>
      </c>
      <c r="D35" s="45" t="s">
        <v>1120</v>
      </c>
      <c r="E35" s="45">
        <v>4.5</v>
      </c>
      <c r="F35" s="45" t="s">
        <v>1125</v>
      </c>
      <c r="G35" s="45" t="s">
        <v>1147</v>
      </c>
      <c r="H35" s="45" t="s">
        <v>1123</v>
      </c>
    </row>
    <row r="36" spans="3:42" x14ac:dyDescent="0.2">
      <c r="C36" s="45" t="s">
        <v>1146</v>
      </c>
      <c r="D36" s="45" t="s">
        <v>1005</v>
      </c>
      <c r="E36" s="45">
        <v>62</v>
      </c>
      <c r="F36" s="45" t="s">
        <v>1125</v>
      </c>
      <c r="G36" s="45" t="s">
        <v>1145</v>
      </c>
      <c r="H36" s="45" t="s">
        <v>1123</v>
      </c>
    </row>
    <row r="37" spans="3:42" x14ac:dyDescent="0.2">
      <c r="C37" s="45" t="s">
        <v>1144</v>
      </c>
      <c r="D37" s="45" t="s">
        <v>1121</v>
      </c>
      <c r="E37" s="45">
        <v>140</v>
      </c>
      <c r="F37" s="45" t="s">
        <v>1125</v>
      </c>
      <c r="G37" s="45" t="s">
        <v>1143</v>
      </c>
      <c r="H37" s="45" t="s">
        <v>1123</v>
      </c>
    </row>
    <row r="38" spans="3:42" x14ac:dyDescent="0.2">
      <c r="C38" s="45" t="s">
        <v>1142</v>
      </c>
      <c r="D38" s="45" t="s">
        <v>1121</v>
      </c>
      <c r="E38" s="45">
        <v>140</v>
      </c>
      <c r="F38" s="45" t="s">
        <v>1125</v>
      </c>
      <c r="G38" s="45" t="s">
        <v>1141</v>
      </c>
      <c r="H38" s="45" t="s">
        <v>1123</v>
      </c>
    </row>
    <row r="39" spans="3:42" x14ac:dyDescent="0.2">
      <c r="C39" s="45" t="s">
        <v>1140</v>
      </c>
      <c r="D39" s="45" t="s">
        <v>1121</v>
      </c>
      <c r="E39" s="45">
        <v>108</v>
      </c>
      <c r="F39" s="45" t="s">
        <v>1125</v>
      </c>
      <c r="G39" s="45" t="s">
        <v>1139</v>
      </c>
      <c r="H39" s="45" t="s">
        <v>1138</v>
      </c>
    </row>
    <row r="40" spans="3:42" x14ac:dyDescent="0.2">
      <c r="C40" s="45" t="s">
        <v>1137</v>
      </c>
      <c r="D40" s="45" t="s">
        <v>1121</v>
      </c>
      <c r="E40" s="45">
        <v>140</v>
      </c>
      <c r="F40" s="45" t="s">
        <v>1125</v>
      </c>
      <c r="G40" s="45" t="s">
        <v>1136</v>
      </c>
      <c r="H40" s="45" t="s">
        <v>1123</v>
      </c>
    </row>
    <row r="41" spans="3:42" x14ac:dyDescent="0.2">
      <c r="C41" s="45" t="s">
        <v>1135</v>
      </c>
      <c r="D41" s="45" t="s">
        <v>725</v>
      </c>
      <c r="E41" s="45">
        <v>75</v>
      </c>
      <c r="F41" s="45" t="s">
        <v>1125</v>
      </c>
      <c r="G41" s="45" t="s">
        <v>1134</v>
      </c>
      <c r="H41" s="45" t="s">
        <v>1123</v>
      </c>
    </row>
    <row r="42" spans="3:42" x14ac:dyDescent="0.2">
      <c r="C42" s="45" t="s">
        <v>1133</v>
      </c>
      <c r="D42" s="45" t="s">
        <v>725</v>
      </c>
      <c r="E42" s="45">
        <v>75</v>
      </c>
      <c r="F42" s="45" t="s">
        <v>1125</v>
      </c>
      <c r="G42" s="45" t="s">
        <v>1132</v>
      </c>
      <c r="H42" s="45" t="s">
        <v>1123</v>
      </c>
    </row>
    <row r="43" spans="3:42" x14ac:dyDescent="0.2">
      <c r="C43" s="45" t="s">
        <v>1131</v>
      </c>
      <c r="D43" s="45" t="s">
        <v>1121</v>
      </c>
      <c r="E43" s="45">
        <v>139</v>
      </c>
      <c r="F43" s="45" t="s">
        <v>1125</v>
      </c>
      <c r="G43" s="45" t="s">
        <v>1130</v>
      </c>
      <c r="H43" s="45" t="s">
        <v>1123</v>
      </c>
    </row>
    <row r="44" spans="3:42" x14ac:dyDescent="0.2">
      <c r="C44" s="45" t="s">
        <v>1129</v>
      </c>
      <c r="D44" s="45" t="s">
        <v>725</v>
      </c>
      <c r="E44" s="45">
        <v>75</v>
      </c>
      <c r="F44" s="45" t="s">
        <v>1125</v>
      </c>
      <c r="G44" s="45" t="s">
        <v>1128</v>
      </c>
      <c r="H44" s="45" t="s">
        <v>1123</v>
      </c>
    </row>
    <row r="45" spans="3:42" x14ac:dyDescent="0.2">
      <c r="C45" s="45" t="s">
        <v>1127</v>
      </c>
      <c r="D45" s="45" t="s">
        <v>1121</v>
      </c>
      <c r="E45" s="45">
        <v>33</v>
      </c>
      <c r="F45" s="45" t="s">
        <v>1125</v>
      </c>
      <c r="G45" s="45" t="s">
        <v>1126</v>
      </c>
      <c r="H45" s="45" t="s">
        <v>1123</v>
      </c>
      <c r="AJ45" s="45" t="s">
        <v>542</v>
      </c>
      <c r="AK45" s="45" t="s">
        <v>1835</v>
      </c>
      <c r="AL45" s="45" t="s">
        <v>1836</v>
      </c>
      <c r="AM45" s="45" t="s">
        <v>1837</v>
      </c>
      <c r="AN45" s="45" t="s">
        <v>1838</v>
      </c>
      <c r="AO45" s="45" t="s">
        <v>1839</v>
      </c>
      <c r="AP45" s="45" t="s">
        <v>1840</v>
      </c>
    </row>
    <row r="46" spans="3:42" x14ac:dyDescent="0.2">
      <c r="C46" s="45" t="s">
        <v>1124</v>
      </c>
      <c r="D46" s="45" t="s">
        <v>725</v>
      </c>
      <c r="E46" s="45">
        <v>75</v>
      </c>
      <c r="F46" s="45" t="s">
        <v>1125</v>
      </c>
      <c r="G46" s="45" t="s">
        <v>1124</v>
      </c>
      <c r="H46" s="45" t="s">
        <v>1123</v>
      </c>
    </row>
    <row r="47" spans="3:42" x14ac:dyDescent="0.2">
      <c r="C47" s="222" t="s">
        <v>1122</v>
      </c>
      <c r="J47" s="45">
        <v>2020</v>
      </c>
      <c r="K47" s="45">
        <v>2021</v>
      </c>
      <c r="L47" s="45">
        <v>2022</v>
      </c>
      <c r="M47" s="45">
        <v>2023</v>
      </c>
      <c r="AI47" s="45">
        <v>2020</v>
      </c>
      <c r="AJ47" s="45">
        <v>1.4330000000000001</v>
      </c>
      <c r="AL47" s="45">
        <v>0.114</v>
      </c>
      <c r="AM47" s="45">
        <v>0.3</v>
      </c>
      <c r="AO47" s="45">
        <f>SUM(AJ47:AN47)</f>
        <v>1.8470000000000002</v>
      </c>
      <c r="AP47" s="45">
        <f>AO47</f>
        <v>1.8470000000000002</v>
      </c>
    </row>
    <row r="48" spans="3:42" x14ac:dyDescent="0.2">
      <c r="C48" s="45" t="s">
        <v>725</v>
      </c>
      <c r="D48" s="45">
        <f>SUMIF($D$21:$D$46,C48,$E$21:$E$46)</f>
        <v>813</v>
      </c>
      <c r="I48" s="45">
        <f>SUM(J48:M48)</f>
        <v>0.81400000000000006</v>
      </c>
      <c r="J48" s="45">
        <v>0.114</v>
      </c>
      <c r="K48" s="45">
        <v>0.3</v>
      </c>
      <c r="L48" s="45">
        <v>0.4</v>
      </c>
      <c r="M48" s="45">
        <v>0</v>
      </c>
      <c r="AI48" s="45">
        <v>2021</v>
      </c>
      <c r="AJ48" s="45">
        <v>1.4330000000000001</v>
      </c>
      <c r="AL48" s="45">
        <v>0.3</v>
      </c>
      <c r="AM48" s="45">
        <v>0.81799999999999995</v>
      </c>
      <c r="AO48" s="45">
        <f>SUM(AJ48:AN48)</f>
        <v>2.5510000000000002</v>
      </c>
      <c r="AP48" s="45">
        <f>AP47+AO48</f>
        <v>4.3980000000000006</v>
      </c>
    </row>
    <row r="49" spans="3:42" x14ac:dyDescent="0.2">
      <c r="C49" s="45" t="s">
        <v>1121</v>
      </c>
      <c r="D49" s="45">
        <f>SUMIF($D$21:$D$46,C49,$E$21:$E$46)</f>
        <v>1367</v>
      </c>
      <c r="I49" s="45">
        <f>SUM(J49:M49)</f>
        <v>1.3620000000000001</v>
      </c>
      <c r="J49" s="45">
        <v>0.24399999999999999</v>
      </c>
      <c r="K49" s="45">
        <v>0.3</v>
      </c>
      <c r="L49" s="45">
        <v>0.81799999999999995</v>
      </c>
      <c r="M49" s="45">
        <v>0</v>
      </c>
      <c r="AI49" s="45">
        <v>2022</v>
      </c>
      <c r="AJ49" s="45">
        <v>0.71099999999999997</v>
      </c>
      <c r="AK49" s="45">
        <v>0.51300000000000001</v>
      </c>
      <c r="AL49" s="45">
        <v>1.4</v>
      </c>
      <c r="AM49" s="45">
        <v>1.6</v>
      </c>
      <c r="AO49" s="45">
        <f>SUM(AJ49:AN49)</f>
        <v>4.2240000000000002</v>
      </c>
      <c r="AP49" s="45">
        <f>AP48+AO49</f>
        <v>8.6219999999999999</v>
      </c>
    </row>
    <row r="50" spans="3:42" x14ac:dyDescent="0.2">
      <c r="C50" s="45" t="s">
        <v>1120</v>
      </c>
      <c r="AI50" s="45">
        <v>2023</v>
      </c>
      <c r="AJ50" s="45">
        <v>0.75</v>
      </c>
      <c r="AL50" s="45">
        <v>1</v>
      </c>
      <c r="AM50" s="45">
        <v>1.6</v>
      </c>
      <c r="AN50" s="45">
        <v>1</v>
      </c>
      <c r="AO50" s="45">
        <f>SUM(AJ50:AN50)</f>
        <v>4.3499999999999996</v>
      </c>
      <c r="AP50" s="45">
        <f>AP49+AO50</f>
        <v>12.972</v>
      </c>
    </row>
    <row r="51" spans="3:42" x14ac:dyDescent="0.2">
      <c r="C51" s="45" t="s">
        <v>1005</v>
      </c>
    </row>
    <row r="54" spans="3:42" x14ac:dyDescent="0.2">
      <c r="C54" s="222"/>
    </row>
    <row r="70" spans="3:19" x14ac:dyDescent="0.2">
      <c r="D70" s="45">
        <v>2015</v>
      </c>
      <c r="E70" s="45">
        <v>2016</v>
      </c>
      <c r="F70" s="45">
        <v>2017</v>
      </c>
      <c r="G70" s="45">
        <v>2018</v>
      </c>
      <c r="H70" s="45">
        <v>2019</v>
      </c>
      <c r="I70" s="45">
        <v>2020</v>
      </c>
      <c r="J70" s="45">
        <v>2021</v>
      </c>
      <c r="K70" s="45">
        <v>2022</v>
      </c>
      <c r="L70" s="45">
        <v>2023</v>
      </c>
      <c r="M70" s="45">
        <v>2024</v>
      </c>
      <c r="N70" s="45">
        <v>2025</v>
      </c>
      <c r="O70" s="45">
        <v>2026</v>
      </c>
      <c r="P70" s="45">
        <v>2027</v>
      </c>
      <c r="Q70" s="45">
        <v>2028</v>
      </c>
      <c r="R70" s="45">
        <v>2029</v>
      </c>
      <c r="S70" s="45">
        <v>2030</v>
      </c>
    </row>
    <row r="71" spans="3:19" x14ac:dyDescent="0.2">
      <c r="C71" s="45" t="s">
        <v>1119</v>
      </c>
      <c r="D71" s="45">
        <v>154</v>
      </c>
      <c r="E71" s="45">
        <v>250</v>
      </c>
      <c r="F71" s="45">
        <v>384</v>
      </c>
      <c r="G71" s="45">
        <v>584</v>
      </c>
      <c r="H71" s="45">
        <v>884</v>
      </c>
      <c r="I71" s="45">
        <v>1234</v>
      </c>
      <c r="J71" s="45">
        <v>1634</v>
      </c>
      <c r="K71" s="45">
        <v>2084</v>
      </c>
      <c r="L71" s="45">
        <v>2584</v>
      </c>
      <c r="M71" s="45">
        <v>3084</v>
      </c>
      <c r="N71" s="45">
        <v>3584</v>
      </c>
      <c r="O71" s="45">
        <f>N71+O77</f>
        <v>4084</v>
      </c>
      <c r="P71" s="45">
        <f>O71+P77</f>
        <v>4584</v>
      </c>
      <c r="Q71" s="45">
        <f>P71+Q77</f>
        <v>5084</v>
      </c>
      <c r="R71" s="45">
        <f>Q71+R77</f>
        <v>5584</v>
      </c>
      <c r="S71" s="45">
        <f>R71+S77</f>
        <v>6084</v>
      </c>
    </row>
    <row r="72" spans="3:19" x14ac:dyDescent="0.2">
      <c r="C72" s="45" t="s">
        <v>1118</v>
      </c>
      <c r="D72" s="45">
        <v>0.8</v>
      </c>
      <c r="E72" s="45">
        <v>0.8</v>
      </c>
      <c r="F72" s="45">
        <v>0.8</v>
      </c>
      <c r="G72" s="45">
        <v>0.8</v>
      </c>
      <c r="H72" s="45">
        <v>0.8</v>
      </c>
      <c r="I72" s="45">
        <v>0.7</v>
      </c>
      <c r="J72" s="45">
        <v>0.7</v>
      </c>
      <c r="K72" s="45">
        <v>0.7</v>
      </c>
      <c r="L72" s="45">
        <v>0.7</v>
      </c>
      <c r="M72" s="45">
        <v>0.6</v>
      </c>
      <c r="N72" s="45">
        <v>0.6</v>
      </c>
      <c r="O72" s="45">
        <v>0.5</v>
      </c>
      <c r="P72" s="45">
        <v>0.45</v>
      </c>
      <c r="Q72" s="45">
        <v>0.4</v>
      </c>
      <c r="R72" s="45">
        <v>0.4</v>
      </c>
      <c r="S72" s="45">
        <v>0.4</v>
      </c>
    </row>
    <row r="73" spans="3:19" x14ac:dyDescent="0.2">
      <c r="C73" s="45" t="s">
        <v>1117</v>
      </c>
      <c r="D73" s="45">
        <v>0.1</v>
      </c>
      <c r="E73" s="45">
        <v>0.1</v>
      </c>
      <c r="F73" s="45">
        <v>0.1</v>
      </c>
      <c r="G73" s="45">
        <v>0.1</v>
      </c>
      <c r="H73" s="45">
        <v>0.1</v>
      </c>
      <c r="I73" s="45">
        <v>0.1</v>
      </c>
      <c r="J73" s="45">
        <v>0.1</v>
      </c>
      <c r="K73" s="45">
        <v>0.1</v>
      </c>
      <c r="L73" s="45">
        <v>0.1</v>
      </c>
      <c r="M73" s="45">
        <v>0.1</v>
      </c>
      <c r="N73" s="45">
        <v>0.1</v>
      </c>
      <c r="O73" s="45">
        <v>0.1</v>
      </c>
      <c r="P73" s="45">
        <v>0.1</v>
      </c>
      <c r="Q73" s="45">
        <v>0.1</v>
      </c>
      <c r="R73" s="45">
        <v>0.1</v>
      </c>
      <c r="S73" s="45">
        <v>0.1</v>
      </c>
    </row>
    <row r="74" spans="3:19" x14ac:dyDescent="0.2">
      <c r="C74" s="45" t="s">
        <v>1116</v>
      </c>
      <c r="D74" s="45">
        <f t="shared" ref="D74:S74" si="1">1-SUM(D72:D73)</f>
        <v>9.9999999999999978E-2</v>
      </c>
      <c r="E74" s="45">
        <f t="shared" si="1"/>
        <v>9.9999999999999978E-2</v>
      </c>
      <c r="F74" s="45">
        <f t="shared" si="1"/>
        <v>9.9999999999999978E-2</v>
      </c>
      <c r="G74" s="45">
        <f t="shared" si="1"/>
        <v>9.9999999999999978E-2</v>
      </c>
      <c r="H74" s="45">
        <f t="shared" si="1"/>
        <v>9.9999999999999978E-2</v>
      </c>
      <c r="I74" s="45">
        <f t="shared" si="1"/>
        <v>0.20000000000000007</v>
      </c>
      <c r="J74" s="45">
        <f t="shared" si="1"/>
        <v>0.20000000000000007</v>
      </c>
      <c r="K74" s="45">
        <f t="shared" si="1"/>
        <v>0.20000000000000007</v>
      </c>
      <c r="L74" s="45">
        <f t="shared" si="1"/>
        <v>0.20000000000000007</v>
      </c>
      <c r="M74" s="45">
        <f t="shared" si="1"/>
        <v>0.30000000000000004</v>
      </c>
      <c r="N74" s="45">
        <f t="shared" si="1"/>
        <v>0.30000000000000004</v>
      </c>
      <c r="O74" s="45">
        <f t="shared" si="1"/>
        <v>0.4</v>
      </c>
      <c r="P74" s="45">
        <f t="shared" si="1"/>
        <v>0.44999999999999996</v>
      </c>
      <c r="Q74" s="45">
        <f t="shared" si="1"/>
        <v>0.5</v>
      </c>
      <c r="R74" s="45">
        <f t="shared" si="1"/>
        <v>0.5</v>
      </c>
      <c r="S74" s="45">
        <f t="shared" si="1"/>
        <v>0.5</v>
      </c>
    </row>
    <row r="76" spans="3:19" x14ac:dyDescent="0.2">
      <c r="C76" s="45" t="s">
        <v>1115</v>
      </c>
      <c r="D76" s="45">
        <v>2015</v>
      </c>
      <c r="E76" s="45">
        <v>2016</v>
      </c>
      <c r="F76" s="45">
        <v>2017</v>
      </c>
      <c r="G76" s="45">
        <v>2018</v>
      </c>
      <c r="H76" s="45">
        <v>2019</v>
      </c>
      <c r="I76" s="45">
        <v>2020</v>
      </c>
      <c r="J76" s="45">
        <v>2021</v>
      </c>
      <c r="K76" s="45">
        <v>2022</v>
      </c>
      <c r="L76" s="45">
        <v>2023</v>
      </c>
      <c r="M76" s="45">
        <v>2024</v>
      </c>
      <c r="N76" s="45">
        <v>2025</v>
      </c>
      <c r="O76" s="45">
        <v>2026</v>
      </c>
      <c r="P76" s="45">
        <v>2027</v>
      </c>
      <c r="Q76" s="45">
        <v>2028</v>
      </c>
      <c r="R76" s="45">
        <v>2029</v>
      </c>
      <c r="S76" s="45">
        <v>2030</v>
      </c>
    </row>
    <row r="77" spans="3:19" x14ac:dyDescent="0.2">
      <c r="C77" s="45" t="s">
        <v>115</v>
      </c>
      <c r="D77" s="45">
        <f>SUM(D78:D80)</f>
        <v>154</v>
      </c>
      <c r="E77" s="45">
        <f t="shared" ref="E77:N77" si="2">E71-D71</f>
        <v>96</v>
      </c>
      <c r="F77" s="45">
        <f t="shared" si="2"/>
        <v>134</v>
      </c>
      <c r="G77" s="45">
        <f t="shared" si="2"/>
        <v>200</v>
      </c>
      <c r="H77" s="45">
        <f t="shared" si="2"/>
        <v>300</v>
      </c>
      <c r="I77" s="45">
        <f t="shared" si="2"/>
        <v>350</v>
      </c>
      <c r="J77" s="45">
        <f t="shared" si="2"/>
        <v>400</v>
      </c>
      <c r="K77" s="45">
        <f t="shared" si="2"/>
        <v>450</v>
      </c>
      <c r="L77" s="45">
        <f t="shared" si="2"/>
        <v>500</v>
      </c>
      <c r="M77" s="45">
        <f t="shared" si="2"/>
        <v>500</v>
      </c>
      <c r="N77" s="45">
        <f t="shared" si="2"/>
        <v>500</v>
      </c>
      <c r="O77" s="45">
        <v>500</v>
      </c>
      <c r="P77" s="45">
        <v>500</v>
      </c>
      <c r="Q77" s="45">
        <v>500</v>
      </c>
      <c r="R77" s="45">
        <v>500</v>
      </c>
      <c r="S77" s="45">
        <v>500</v>
      </c>
    </row>
    <row r="78" spans="3:19" x14ac:dyDescent="0.2">
      <c r="C78" s="45" t="str">
        <f t="shared" ref="C78:D80" si="3">C83</f>
        <v>Commercial</v>
      </c>
      <c r="D78" s="45">
        <f t="shared" si="3"/>
        <v>123.2</v>
      </c>
      <c r="E78" s="45">
        <f t="shared" ref="E78:N78" si="4">E72*E$77</f>
        <v>76.800000000000011</v>
      </c>
      <c r="F78" s="45">
        <f t="shared" si="4"/>
        <v>107.2</v>
      </c>
      <c r="G78" s="45">
        <f t="shared" si="4"/>
        <v>160</v>
      </c>
      <c r="H78" s="45">
        <f t="shared" si="4"/>
        <v>240</v>
      </c>
      <c r="I78" s="45">
        <f t="shared" si="4"/>
        <v>244.99999999999997</v>
      </c>
      <c r="J78" s="45">
        <f t="shared" si="4"/>
        <v>280</v>
      </c>
      <c r="K78" s="45">
        <f t="shared" si="4"/>
        <v>315</v>
      </c>
      <c r="L78" s="45">
        <f t="shared" si="4"/>
        <v>350</v>
      </c>
      <c r="M78" s="45">
        <f t="shared" si="4"/>
        <v>300</v>
      </c>
      <c r="N78" s="45">
        <f t="shared" si="4"/>
        <v>300</v>
      </c>
      <c r="O78" s="45">
        <f t="shared" ref="O78:S80" si="5">O72*O$77</f>
        <v>250</v>
      </c>
      <c r="P78" s="45">
        <f t="shared" si="5"/>
        <v>225</v>
      </c>
      <c r="Q78" s="45">
        <f t="shared" si="5"/>
        <v>200</v>
      </c>
      <c r="R78" s="45">
        <f t="shared" si="5"/>
        <v>200</v>
      </c>
      <c r="S78" s="45">
        <f t="shared" si="5"/>
        <v>200</v>
      </c>
    </row>
    <row r="79" spans="3:19" x14ac:dyDescent="0.2">
      <c r="C79" s="45" t="str">
        <f t="shared" si="3"/>
        <v>Residential</v>
      </c>
      <c r="D79" s="45">
        <f t="shared" si="3"/>
        <v>15.4</v>
      </c>
      <c r="E79" s="45">
        <f t="shared" ref="E79:N79" si="6">E73*E$77</f>
        <v>9.6000000000000014</v>
      </c>
      <c r="F79" s="45">
        <f t="shared" si="6"/>
        <v>13.4</v>
      </c>
      <c r="G79" s="45">
        <f t="shared" si="6"/>
        <v>20</v>
      </c>
      <c r="H79" s="45">
        <f t="shared" si="6"/>
        <v>30</v>
      </c>
      <c r="I79" s="45">
        <f t="shared" si="6"/>
        <v>35</v>
      </c>
      <c r="J79" s="45">
        <f t="shared" si="6"/>
        <v>40</v>
      </c>
      <c r="K79" s="45">
        <f t="shared" si="6"/>
        <v>45</v>
      </c>
      <c r="L79" s="45">
        <f t="shared" si="6"/>
        <v>50</v>
      </c>
      <c r="M79" s="45">
        <f t="shared" si="6"/>
        <v>50</v>
      </c>
      <c r="N79" s="45">
        <f t="shared" si="6"/>
        <v>50</v>
      </c>
      <c r="O79" s="45">
        <f t="shared" si="5"/>
        <v>50</v>
      </c>
      <c r="P79" s="45">
        <f t="shared" si="5"/>
        <v>50</v>
      </c>
      <c r="Q79" s="45">
        <f t="shared" si="5"/>
        <v>50</v>
      </c>
      <c r="R79" s="45">
        <f t="shared" si="5"/>
        <v>50</v>
      </c>
      <c r="S79" s="45">
        <f t="shared" si="5"/>
        <v>50</v>
      </c>
    </row>
    <row r="80" spans="3:19" x14ac:dyDescent="0.2">
      <c r="C80" s="45" t="str">
        <f t="shared" si="3"/>
        <v>Industrial</v>
      </c>
      <c r="D80" s="45">
        <f t="shared" si="3"/>
        <v>15.399999999999997</v>
      </c>
      <c r="E80" s="45">
        <f t="shared" ref="E80:N80" si="7">E74*E$77</f>
        <v>9.5999999999999979</v>
      </c>
      <c r="F80" s="45">
        <f t="shared" si="7"/>
        <v>13.399999999999997</v>
      </c>
      <c r="G80" s="45">
        <f t="shared" si="7"/>
        <v>19.999999999999996</v>
      </c>
      <c r="H80" s="45">
        <f t="shared" si="7"/>
        <v>29.999999999999993</v>
      </c>
      <c r="I80" s="45">
        <f t="shared" si="7"/>
        <v>70.000000000000028</v>
      </c>
      <c r="J80" s="45">
        <f t="shared" si="7"/>
        <v>80.000000000000028</v>
      </c>
      <c r="K80" s="45">
        <f t="shared" si="7"/>
        <v>90.000000000000028</v>
      </c>
      <c r="L80" s="45">
        <f t="shared" si="7"/>
        <v>100.00000000000003</v>
      </c>
      <c r="M80" s="45">
        <f t="shared" si="7"/>
        <v>150.00000000000003</v>
      </c>
      <c r="N80" s="45">
        <f t="shared" si="7"/>
        <v>150.00000000000003</v>
      </c>
      <c r="O80" s="45">
        <f t="shared" si="5"/>
        <v>200</v>
      </c>
      <c r="P80" s="45">
        <f t="shared" si="5"/>
        <v>224.99999999999997</v>
      </c>
      <c r="Q80" s="45">
        <f t="shared" si="5"/>
        <v>250</v>
      </c>
      <c r="R80" s="45">
        <f t="shared" si="5"/>
        <v>250</v>
      </c>
      <c r="S80" s="45">
        <f t="shared" si="5"/>
        <v>250</v>
      </c>
    </row>
    <row r="82" spans="3:19" x14ac:dyDescent="0.2">
      <c r="C82" s="45" t="s">
        <v>1114</v>
      </c>
      <c r="D82" s="45">
        <v>2015</v>
      </c>
      <c r="E82" s="45">
        <v>2016</v>
      </c>
      <c r="F82" s="45">
        <v>2017</v>
      </c>
      <c r="G82" s="45">
        <v>2018</v>
      </c>
      <c r="H82" s="45">
        <v>2019</v>
      </c>
      <c r="I82" s="45">
        <v>2020</v>
      </c>
      <c r="J82" s="45">
        <v>2021</v>
      </c>
      <c r="K82" s="45">
        <v>2022</v>
      </c>
      <c r="L82" s="45">
        <v>2023</v>
      </c>
      <c r="M82" s="45">
        <v>2024</v>
      </c>
      <c r="N82" s="45">
        <v>2025</v>
      </c>
      <c r="O82" s="45">
        <v>2026</v>
      </c>
      <c r="P82" s="45">
        <v>2027</v>
      </c>
      <c r="Q82" s="45">
        <v>2028</v>
      </c>
      <c r="R82" s="45">
        <v>2029</v>
      </c>
      <c r="S82" s="45">
        <v>2030</v>
      </c>
    </row>
    <row r="83" spans="3:19" x14ac:dyDescent="0.2">
      <c r="C83" s="45" t="str">
        <f>C72</f>
        <v>Commercial</v>
      </c>
      <c r="D83" s="45">
        <f>D72*D$71</f>
        <v>123.2</v>
      </c>
      <c r="E83" s="45">
        <f t="shared" ref="E83:N83" si="8">E78+D83</f>
        <v>200</v>
      </c>
      <c r="F83" s="45">
        <f t="shared" si="8"/>
        <v>307.2</v>
      </c>
      <c r="G83" s="45">
        <f t="shared" si="8"/>
        <v>467.2</v>
      </c>
      <c r="H83" s="45">
        <f t="shared" si="8"/>
        <v>707.2</v>
      </c>
      <c r="I83" s="45">
        <f t="shared" si="8"/>
        <v>952.2</v>
      </c>
      <c r="J83" s="45">
        <f t="shared" si="8"/>
        <v>1232.2</v>
      </c>
      <c r="K83" s="45">
        <f t="shared" si="8"/>
        <v>1547.2</v>
      </c>
      <c r="L83" s="45">
        <f t="shared" si="8"/>
        <v>1897.2</v>
      </c>
      <c r="M83" s="45">
        <f t="shared" si="8"/>
        <v>2197.1999999999998</v>
      </c>
      <c r="N83" s="45">
        <f t="shared" si="8"/>
        <v>2497.1999999999998</v>
      </c>
      <c r="O83" s="45">
        <f>O78+N83</f>
        <v>2747.2</v>
      </c>
      <c r="P83" s="45">
        <f>P78+O83</f>
        <v>2972.2</v>
      </c>
      <c r="Q83" s="45">
        <f>Q78+P83</f>
        <v>3172.2</v>
      </c>
      <c r="R83" s="45">
        <f>R78+Q83</f>
        <v>3372.2</v>
      </c>
      <c r="S83" s="45">
        <f>S78+R83</f>
        <v>3572.2</v>
      </c>
    </row>
    <row r="84" spans="3:19" x14ac:dyDescent="0.2">
      <c r="C84" s="45" t="str">
        <f>C73</f>
        <v>Residential</v>
      </c>
      <c r="D84" s="45">
        <f>D73*D$71</f>
        <v>15.4</v>
      </c>
      <c r="E84" s="45">
        <f t="shared" ref="E84:N84" si="9">E73*E$71</f>
        <v>25</v>
      </c>
      <c r="F84" s="45">
        <f t="shared" si="9"/>
        <v>38.400000000000006</v>
      </c>
      <c r="G84" s="45">
        <f t="shared" si="9"/>
        <v>58.400000000000006</v>
      </c>
      <c r="H84" s="45">
        <f t="shared" si="9"/>
        <v>88.4</v>
      </c>
      <c r="I84" s="45">
        <f t="shared" si="9"/>
        <v>123.4</v>
      </c>
      <c r="J84" s="45">
        <f t="shared" si="9"/>
        <v>163.4</v>
      </c>
      <c r="K84" s="45">
        <f t="shared" si="9"/>
        <v>208.4</v>
      </c>
      <c r="L84" s="45">
        <f t="shared" si="9"/>
        <v>258.40000000000003</v>
      </c>
      <c r="M84" s="45">
        <f t="shared" si="9"/>
        <v>308.40000000000003</v>
      </c>
      <c r="N84" s="45">
        <f t="shared" si="9"/>
        <v>358.40000000000003</v>
      </c>
      <c r="O84" s="45">
        <f t="shared" ref="O84:S85" si="10">O73*O$71</f>
        <v>408.40000000000003</v>
      </c>
      <c r="P84" s="45">
        <f t="shared" si="10"/>
        <v>458.40000000000003</v>
      </c>
      <c r="Q84" s="45">
        <f t="shared" si="10"/>
        <v>508.40000000000003</v>
      </c>
      <c r="R84" s="45">
        <f t="shared" si="10"/>
        <v>558.4</v>
      </c>
      <c r="S84" s="45">
        <f t="shared" si="10"/>
        <v>608.4</v>
      </c>
    </row>
    <row r="85" spans="3:19" x14ac:dyDescent="0.2">
      <c r="C85" s="45" t="str">
        <f>C74</f>
        <v>Industrial</v>
      </c>
      <c r="D85" s="45">
        <f>D74*D$71</f>
        <v>15.399999999999997</v>
      </c>
      <c r="E85" s="45">
        <f t="shared" ref="E85:N85" si="11">E74*E$71</f>
        <v>24.999999999999993</v>
      </c>
      <c r="F85" s="45">
        <f t="shared" si="11"/>
        <v>38.399999999999991</v>
      </c>
      <c r="G85" s="45">
        <f t="shared" si="11"/>
        <v>58.399999999999984</v>
      </c>
      <c r="H85" s="45">
        <f t="shared" si="11"/>
        <v>88.399999999999977</v>
      </c>
      <c r="I85" s="45">
        <f t="shared" si="11"/>
        <v>246.80000000000007</v>
      </c>
      <c r="J85" s="45">
        <f t="shared" si="11"/>
        <v>326.80000000000013</v>
      </c>
      <c r="K85" s="45">
        <f t="shared" si="11"/>
        <v>416.80000000000013</v>
      </c>
      <c r="L85" s="45">
        <f t="shared" si="11"/>
        <v>516.80000000000018</v>
      </c>
      <c r="M85" s="45">
        <f t="shared" si="11"/>
        <v>925.20000000000016</v>
      </c>
      <c r="N85" s="45">
        <f t="shared" si="11"/>
        <v>1075.2000000000003</v>
      </c>
      <c r="O85" s="45">
        <f t="shared" si="10"/>
        <v>1633.6000000000001</v>
      </c>
      <c r="P85" s="45">
        <f t="shared" si="10"/>
        <v>2062.7999999999997</v>
      </c>
      <c r="Q85" s="45">
        <f t="shared" si="10"/>
        <v>2542</v>
      </c>
      <c r="R85" s="45">
        <f t="shared" si="10"/>
        <v>2792</v>
      </c>
      <c r="S85" s="45">
        <f t="shared" si="10"/>
        <v>3042</v>
      </c>
    </row>
    <row r="87" spans="3:19" x14ac:dyDescent="0.2">
      <c r="C87" s="45" t="s">
        <v>1034</v>
      </c>
      <c r="D87" s="45">
        <v>2015</v>
      </c>
      <c r="E87" s="45">
        <v>2016</v>
      </c>
      <c r="F87" s="45">
        <v>2017</v>
      </c>
      <c r="G87" s="45">
        <v>2018</v>
      </c>
      <c r="H87" s="45">
        <v>2019</v>
      </c>
      <c r="I87" s="45">
        <v>2020</v>
      </c>
      <c r="J87" s="45">
        <v>2021</v>
      </c>
      <c r="K87" s="45">
        <v>2022</v>
      </c>
      <c r="L87" s="45">
        <v>2023</v>
      </c>
      <c r="M87" s="45">
        <v>2024</v>
      </c>
      <c r="N87" s="45">
        <v>2025</v>
      </c>
      <c r="O87" s="45">
        <v>2026</v>
      </c>
      <c r="P87" s="45">
        <v>2027</v>
      </c>
      <c r="Q87" s="45">
        <v>2028</v>
      </c>
      <c r="R87" s="45">
        <v>2029</v>
      </c>
      <c r="S87" s="45">
        <v>2030</v>
      </c>
    </row>
    <row r="88" spans="3:19" x14ac:dyDescent="0.2">
      <c r="C88" s="45" t="s">
        <v>1113</v>
      </c>
      <c r="D88" s="90">
        <f t="shared" ref="D88:N88" si="12">D71*8.76*0.2</f>
        <v>269.80799999999999</v>
      </c>
      <c r="E88" s="90">
        <f t="shared" si="12"/>
        <v>438</v>
      </c>
      <c r="F88" s="90">
        <f t="shared" si="12"/>
        <v>672.76800000000003</v>
      </c>
      <c r="G88" s="90">
        <f t="shared" si="12"/>
        <v>1023.1680000000001</v>
      </c>
      <c r="H88" s="90">
        <f t="shared" si="12"/>
        <v>1548.768</v>
      </c>
      <c r="I88" s="90">
        <f t="shared" si="12"/>
        <v>2161.9680000000003</v>
      </c>
      <c r="J88" s="90">
        <f t="shared" si="12"/>
        <v>2862.768</v>
      </c>
      <c r="K88" s="90">
        <f t="shared" si="12"/>
        <v>3651.1680000000001</v>
      </c>
      <c r="L88" s="90">
        <f t="shared" si="12"/>
        <v>4527.1680000000006</v>
      </c>
      <c r="M88" s="90">
        <f t="shared" si="12"/>
        <v>5403.1680000000006</v>
      </c>
      <c r="N88" s="90">
        <f t="shared" si="12"/>
        <v>6279.1680000000006</v>
      </c>
      <c r="O88" s="90">
        <f>O71*8.76*0.2</f>
        <v>7155.1679999999997</v>
      </c>
      <c r="P88" s="90">
        <f>P71*8.76*0.2</f>
        <v>8031.1679999999997</v>
      </c>
      <c r="Q88" s="90">
        <f>Q71*8.76*0.2</f>
        <v>8907.1679999999997</v>
      </c>
      <c r="R88" s="90">
        <f>R71*8.76*0.2</f>
        <v>9783.1679999999997</v>
      </c>
      <c r="S88" s="90">
        <f>S71*8.76*0.2</f>
        <v>10659.168</v>
      </c>
    </row>
    <row r="89" spans="3:19" x14ac:dyDescent="0.2">
      <c r="C89" s="45" t="str">
        <f>C72</f>
        <v>Commercial</v>
      </c>
      <c r="D89" s="90">
        <f t="shared" ref="D89:N89" si="13">D83*8.76*0.2</f>
        <v>215.84640000000002</v>
      </c>
      <c r="E89" s="90">
        <f t="shared" si="13"/>
        <v>350.40000000000003</v>
      </c>
      <c r="F89" s="90">
        <f t="shared" si="13"/>
        <v>538.21439999999996</v>
      </c>
      <c r="G89" s="90">
        <f t="shared" si="13"/>
        <v>818.53440000000001</v>
      </c>
      <c r="H89" s="90">
        <f t="shared" si="13"/>
        <v>1239.0144</v>
      </c>
      <c r="I89" s="90">
        <f t="shared" si="13"/>
        <v>1668.2544000000003</v>
      </c>
      <c r="J89" s="90">
        <f t="shared" si="13"/>
        <v>2158.8144000000002</v>
      </c>
      <c r="K89" s="90">
        <f t="shared" si="13"/>
        <v>2710.6944000000003</v>
      </c>
      <c r="L89" s="90">
        <f t="shared" si="13"/>
        <v>3323.8944000000006</v>
      </c>
      <c r="M89" s="90">
        <f t="shared" si="13"/>
        <v>3849.4943999999996</v>
      </c>
      <c r="N89" s="90">
        <f t="shared" si="13"/>
        <v>4375.0944</v>
      </c>
      <c r="O89" s="90">
        <f t="shared" ref="O89:S91" si="14">O83*8.76*0.2</f>
        <v>4813.0944</v>
      </c>
      <c r="P89" s="90">
        <f t="shared" si="14"/>
        <v>5207.2943999999998</v>
      </c>
      <c r="Q89" s="90">
        <f t="shared" si="14"/>
        <v>5557.6944000000003</v>
      </c>
      <c r="R89" s="90">
        <f t="shared" si="14"/>
        <v>5908.0944</v>
      </c>
      <c r="S89" s="90">
        <f t="shared" si="14"/>
        <v>6258.4943999999996</v>
      </c>
    </row>
    <row r="90" spans="3:19" x14ac:dyDescent="0.2">
      <c r="C90" s="45" t="str">
        <f>C73</f>
        <v>Residential</v>
      </c>
      <c r="D90" s="90">
        <f t="shared" ref="D90:N90" si="15">D84*8.76*0.2</f>
        <v>26.980800000000002</v>
      </c>
      <c r="E90" s="90">
        <f t="shared" si="15"/>
        <v>43.800000000000004</v>
      </c>
      <c r="F90" s="90">
        <f t="shared" si="15"/>
        <v>67.276800000000009</v>
      </c>
      <c r="G90" s="90">
        <f t="shared" si="15"/>
        <v>102.31680000000001</v>
      </c>
      <c r="H90" s="90">
        <f t="shared" si="15"/>
        <v>154.8768</v>
      </c>
      <c r="I90" s="90">
        <f t="shared" si="15"/>
        <v>216.1968</v>
      </c>
      <c r="J90" s="90">
        <f t="shared" si="15"/>
        <v>286.27680000000004</v>
      </c>
      <c r="K90" s="90">
        <f t="shared" si="15"/>
        <v>365.11680000000001</v>
      </c>
      <c r="L90" s="90">
        <f t="shared" si="15"/>
        <v>452.71680000000009</v>
      </c>
      <c r="M90" s="90">
        <f t="shared" si="15"/>
        <v>540.31680000000006</v>
      </c>
      <c r="N90" s="90">
        <f t="shared" si="15"/>
        <v>627.91680000000008</v>
      </c>
      <c r="O90" s="90">
        <f t="shared" si="14"/>
        <v>715.5168000000001</v>
      </c>
      <c r="P90" s="90">
        <f t="shared" si="14"/>
        <v>803.11680000000013</v>
      </c>
      <c r="Q90" s="90">
        <f t="shared" si="14"/>
        <v>890.71680000000003</v>
      </c>
      <c r="R90" s="90">
        <f t="shared" si="14"/>
        <v>978.31680000000006</v>
      </c>
      <c r="S90" s="90">
        <f t="shared" si="14"/>
        <v>1065.9168</v>
      </c>
    </row>
    <row r="91" spans="3:19" x14ac:dyDescent="0.2">
      <c r="C91" s="45" t="str">
        <f>C74</f>
        <v>Industrial</v>
      </c>
      <c r="D91" s="90">
        <f t="shared" ref="D91:N91" si="16">D85*8.76*0.2</f>
        <v>26.980799999999995</v>
      </c>
      <c r="E91" s="90">
        <f t="shared" si="16"/>
        <v>43.79999999999999</v>
      </c>
      <c r="F91" s="90">
        <f t="shared" si="16"/>
        <v>67.27679999999998</v>
      </c>
      <c r="G91" s="90">
        <f t="shared" si="16"/>
        <v>102.31679999999997</v>
      </c>
      <c r="H91" s="90">
        <f t="shared" si="16"/>
        <v>154.87679999999997</v>
      </c>
      <c r="I91" s="90">
        <f t="shared" si="16"/>
        <v>432.39360000000016</v>
      </c>
      <c r="J91" s="90">
        <f t="shared" si="16"/>
        <v>572.55360000000019</v>
      </c>
      <c r="K91" s="90">
        <f t="shared" si="16"/>
        <v>730.23360000000025</v>
      </c>
      <c r="L91" s="90">
        <f t="shared" si="16"/>
        <v>905.4336000000003</v>
      </c>
      <c r="M91" s="90">
        <f t="shared" si="16"/>
        <v>1620.9504000000004</v>
      </c>
      <c r="N91" s="90">
        <f t="shared" si="16"/>
        <v>1883.7504000000006</v>
      </c>
      <c r="O91" s="90">
        <f t="shared" si="14"/>
        <v>2862.0672000000004</v>
      </c>
      <c r="P91" s="90">
        <f t="shared" si="14"/>
        <v>3614.0255999999995</v>
      </c>
      <c r="Q91" s="90">
        <f t="shared" si="14"/>
        <v>4453.5839999999998</v>
      </c>
      <c r="R91" s="90">
        <f t="shared" si="14"/>
        <v>4891.5839999999998</v>
      </c>
      <c r="S91" s="90">
        <f t="shared" si="14"/>
        <v>5329.5839999999998</v>
      </c>
    </row>
    <row r="92" spans="3:19" x14ac:dyDescent="0.2">
      <c r="F92" s="45">
        <f>F89*3.6</f>
        <v>1937.5718399999998</v>
      </c>
    </row>
    <row r="93" spans="3:19" x14ac:dyDescent="0.2">
      <c r="F93" s="45">
        <f>F90*3.6</f>
        <v>242.19648000000004</v>
      </c>
    </row>
    <row r="101" spans="3:8" x14ac:dyDescent="0.2">
      <c r="C101" s="45" t="s">
        <v>1793</v>
      </c>
      <c r="D101" s="45" t="s">
        <v>1794</v>
      </c>
    </row>
    <row r="103" spans="3:8" ht="47.25" x14ac:dyDescent="0.2">
      <c r="C103" s="337" t="s">
        <v>1789</v>
      </c>
    </row>
    <row r="104" spans="3:8" ht="31.5" x14ac:dyDescent="0.2">
      <c r="C104" s="337" t="s">
        <v>1790</v>
      </c>
    </row>
    <row r="105" spans="3:8" ht="31.5" x14ac:dyDescent="0.2">
      <c r="C105" s="337" t="s">
        <v>1791</v>
      </c>
    </row>
    <row r="106" spans="3:8" ht="31.5" x14ac:dyDescent="0.2">
      <c r="C106" s="337" t="s">
        <v>1792</v>
      </c>
    </row>
    <row r="109" spans="3:8" ht="18" x14ac:dyDescent="0.25">
      <c r="C109" s="419" t="s">
        <v>2203</v>
      </c>
    </row>
    <row r="111" spans="3:8" x14ac:dyDescent="0.2">
      <c r="C111" s="431" t="s">
        <v>1078</v>
      </c>
      <c r="D111" s="431" t="s">
        <v>2204</v>
      </c>
      <c r="E111" s="431" t="s">
        <v>2205</v>
      </c>
      <c r="F111" s="431"/>
      <c r="G111" s="431"/>
      <c r="H111" s="431"/>
    </row>
    <row r="114" spans="3:16" x14ac:dyDescent="0.2">
      <c r="C114" s="420" t="s">
        <v>2217</v>
      </c>
    </row>
    <row r="115" spans="3:16" x14ac:dyDescent="0.2">
      <c r="C115" s="432" t="s">
        <v>2220</v>
      </c>
      <c r="D115" s="420"/>
      <c r="E115" s="420"/>
      <c r="F115" s="420"/>
      <c r="G115" s="420"/>
      <c r="H115" s="420"/>
      <c r="I115" s="420"/>
      <c r="J115" s="420"/>
      <c r="K115" s="420"/>
      <c r="L115" s="420"/>
      <c r="M115" s="420"/>
    </row>
    <row r="116" spans="3:16" ht="13.5" thickBot="1" x14ac:dyDescent="0.25">
      <c r="C116" s="432"/>
      <c r="D116" s="420"/>
      <c r="E116" s="420"/>
      <c r="F116" s="420"/>
      <c r="G116" s="420"/>
      <c r="H116" s="420"/>
      <c r="I116" s="420"/>
      <c r="J116" s="420"/>
      <c r="K116" s="420"/>
      <c r="L116" s="420"/>
      <c r="M116" s="420"/>
    </row>
    <row r="117" spans="3:16" x14ac:dyDescent="0.2">
      <c r="C117" s="421"/>
      <c r="D117" s="422">
        <v>2013</v>
      </c>
      <c r="E117" s="422">
        <v>2014</v>
      </c>
      <c r="F117" s="422">
        <v>2015</v>
      </c>
      <c r="G117" s="422">
        <v>2016</v>
      </c>
      <c r="H117" s="422">
        <v>2017</v>
      </c>
      <c r="I117" s="422">
        <v>2018</v>
      </c>
      <c r="J117" s="422">
        <v>2019</v>
      </c>
      <c r="K117" s="422">
        <v>2020</v>
      </c>
      <c r="L117" s="422">
        <v>2021</v>
      </c>
      <c r="M117" s="423">
        <v>2022</v>
      </c>
      <c r="N117" s="45" t="s">
        <v>2218</v>
      </c>
    </row>
    <row r="118" spans="3:16" x14ac:dyDescent="0.2">
      <c r="C118" s="424"/>
      <c r="D118" s="420" t="s">
        <v>2215</v>
      </c>
      <c r="E118" s="420" t="s">
        <v>2215</v>
      </c>
      <c r="F118" s="420" t="s">
        <v>2215</v>
      </c>
      <c r="G118" s="420" t="s">
        <v>2215</v>
      </c>
      <c r="H118" s="420" t="s">
        <v>2215</v>
      </c>
      <c r="I118" s="420" t="s">
        <v>2215</v>
      </c>
      <c r="J118" s="420" t="s">
        <v>2215</v>
      </c>
      <c r="K118" s="420" t="s">
        <v>2215</v>
      </c>
      <c r="L118" s="420" t="s">
        <v>2215</v>
      </c>
      <c r="M118" s="425" t="s">
        <v>2215</v>
      </c>
    </row>
    <row r="119" spans="3:16" x14ac:dyDescent="0.2">
      <c r="C119" s="424" t="s">
        <v>2206</v>
      </c>
      <c r="D119" s="420" t="s">
        <v>2216</v>
      </c>
      <c r="E119" s="420" t="s">
        <v>2216</v>
      </c>
      <c r="F119" s="420" t="s">
        <v>2216</v>
      </c>
      <c r="G119" s="420" t="s">
        <v>2216</v>
      </c>
      <c r="H119" s="420" t="s">
        <v>2216</v>
      </c>
      <c r="I119" s="420" t="s">
        <v>2216</v>
      </c>
      <c r="J119" s="420" t="s">
        <v>2216</v>
      </c>
      <c r="K119" s="420" t="s">
        <v>2216</v>
      </c>
      <c r="L119" s="420" t="s">
        <v>2216</v>
      </c>
      <c r="M119" s="425" t="s">
        <v>2216</v>
      </c>
    </row>
    <row r="120" spans="3:16" ht="25.5" x14ac:dyDescent="0.2">
      <c r="C120" s="426" t="s">
        <v>2207</v>
      </c>
      <c r="D120" s="420"/>
      <c r="E120" s="420"/>
      <c r="F120" s="420"/>
      <c r="G120" s="420">
        <v>18</v>
      </c>
      <c r="H120" s="420"/>
      <c r="I120" s="420"/>
      <c r="J120" s="420"/>
      <c r="K120" s="420"/>
      <c r="L120" s="420"/>
      <c r="M120" s="425"/>
      <c r="N120" s="420"/>
      <c r="O120" s="420"/>
      <c r="P120" s="420"/>
    </row>
    <row r="121" spans="3:16" ht="51" x14ac:dyDescent="0.2">
      <c r="C121" s="433" t="s">
        <v>2208</v>
      </c>
      <c r="D121" s="434"/>
      <c r="E121" s="434"/>
      <c r="F121" s="434">
        <v>100</v>
      </c>
      <c r="G121" s="434">
        <v>150</v>
      </c>
      <c r="H121" s="434">
        <v>200</v>
      </c>
      <c r="I121" s="434">
        <v>300</v>
      </c>
      <c r="J121" s="434">
        <v>500</v>
      </c>
      <c r="K121" s="434">
        <v>500</v>
      </c>
      <c r="L121" s="434">
        <v>500</v>
      </c>
      <c r="M121" s="435">
        <v>500</v>
      </c>
      <c r="N121" s="420">
        <v>500</v>
      </c>
      <c r="O121" s="420"/>
      <c r="P121" s="420"/>
    </row>
    <row r="122" spans="3:16" ht="25.5" x14ac:dyDescent="0.2">
      <c r="C122" s="433" t="s">
        <v>2209</v>
      </c>
      <c r="D122" s="434"/>
      <c r="E122" s="434"/>
      <c r="F122" s="434"/>
      <c r="G122" s="434">
        <v>5</v>
      </c>
      <c r="H122" s="434">
        <v>9</v>
      </c>
      <c r="I122" s="434">
        <v>14</v>
      </c>
      <c r="J122" s="434">
        <v>14</v>
      </c>
      <c r="K122" s="434">
        <v>14</v>
      </c>
      <c r="L122" s="434">
        <v>14</v>
      </c>
      <c r="M122" s="435">
        <v>14</v>
      </c>
      <c r="N122" s="420"/>
      <c r="O122" s="420"/>
      <c r="P122" s="420"/>
    </row>
    <row r="123" spans="3:16" ht="25.5" x14ac:dyDescent="0.2">
      <c r="C123" s="433" t="s">
        <v>2210</v>
      </c>
      <c r="D123" s="434"/>
      <c r="E123" s="434">
        <v>257</v>
      </c>
      <c r="F123" s="434">
        <v>628</v>
      </c>
      <c r="G123" s="434">
        <v>1079</v>
      </c>
      <c r="H123" s="434">
        <v>1473</v>
      </c>
      <c r="I123" s="434">
        <v>2094</v>
      </c>
      <c r="J123" s="434">
        <v>2094</v>
      </c>
      <c r="K123" s="434">
        <v>2094</v>
      </c>
      <c r="L123" s="434">
        <v>2510</v>
      </c>
      <c r="M123" s="435">
        <v>3038</v>
      </c>
      <c r="N123" s="430">
        <v>3178</v>
      </c>
      <c r="O123" s="420"/>
      <c r="P123" s="420"/>
    </row>
    <row r="124" spans="3:16" ht="25.5" x14ac:dyDescent="0.2">
      <c r="C124" s="426" t="s">
        <v>2211</v>
      </c>
      <c r="D124" s="420"/>
      <c r="E124" s="420">
        <v>190</v>
      </c>
      <c r="F124" s="420">
        <v>440</v>
      </c>
      <c r="G124" s="420">
        <v>445</v>
      </c>
      <c r="H124" s="420">
        <v>670</v>
      </c>
      <c r="I124" s="420">
        <v>670</v>
      </c>
      <c r="J124" s="420">
        <v>670</v>
      </c>
      <c r="K124" s="420">
        <v>670</v>
      </c>
      <c r="L124" s="420">
        <v>670</v>
      </c>
      <c r="M124" s="425">
        <v>670</v>
      </c>
      <c r="N124" s="420"/>
      <c r="O124" s="420"/>
      <c r="P124" s="420"/>
    </row>
    <row r="125" spans="3:16" ht="38.25" x14ac:dyDescent="0.2">
      <c r="C125" s="426" t="s">
        <v>2224</v>
      </c>
      <c r="D125" s="420"/>
      <c r="E125" s="420"/>
      <c r="F125" s="420">
        <v>36</v>
      </c>
      <c r="G125" s="420">
        <v>36</v>
      </c>
      <c r="H125" s="420">
        <v>36</v>
      </c>
      <c r="I125" s="420">
        <v>36</v>
      </c>
      <c r="J125" s="420">
        <v>36</v>
      </c>
      <c r="K125" s="420">
        <v>36</v>
      </c>
      <c r="L125" s="420">
        <v>36</v>
      </c>
      <c r="M125" s="425">
        <v>36</v>
      </c>
      <c r="N125" s="420"/>
      <c r="O125" s="420"/>
      <c r="P125" s="420"/>
    </row>
    <row r="126" spans="3:16" ht="38.25" x14ac:dyDescent="0.2">
      <c r="C126" s="426" t="s">
        <v>2212</v>
      </c>
      <c r="D126" s="420"/>
      <c r="E126" s="420">
        <v>20</v>
      </c>
      <c r="F126" s="420">
        <v>403</v>
      </c>
      <c r="G126" s="420">
        <v>403</v>
      </c>
      <c r="H126" s="420">
        <v>478</v>
      </c>
      <c r="I126" s="420">
        <v>478</v>
      </c>
      <c r="J126" s="420">
        <v>478</v>
      </c>
      <c r="K126" s="420">
        <v>478</v>
      </c>
      <c r="L126" s="420">
        <v>1161</v>
      </c>
      <c r="M126" s="425">
        <v>1216</v>
      </c>
      <c r="N126" s="420"/>
      <c r="O126" s="420"/>
      <c r="P126" s="420"/>
    </row>
    <row r="127" spans="3:16" ht="25.5" x14ac:dyDescent="0.2">
      <c r="C127" s="426" t="s">
        <v>2213</v>
      </c>
      <c r="D127" s="420"/>
      <c r="E127" s="420"/>
      <c r="F127" s="420">
        <v>84</v>
      </c>
      <c r="G127" s="420">
        <v>84</v>
      </c>
      <c r="H127" s="420">
        <v>294</v>
      </c>
      <c r="I127" s="420">
        <v>294</v>
      </c>
      <c r="J127" s="420">
        <v>294</v>
      </c>
      <c r="K127" s="420">
        <v>294</v>
      </c>
      <c r="L127" s="420">
        <v>294</v>
      </c>
      <c r="M127" s="425">
        <v>294</v>
      </c>
      <c r="N127" s="420"/>
      <c r="O127" s="420"/>
      <c r="P127" s="420"/>
    </row>
    <row r="128" spans="3:16" x14ac:dyDescent="0.2">
      <c r="C128" s="426" t="s">
        <v>2221</v>
      </c>
      <c r="D128" s="420">
        <f>D125+D126</f>
        <v>0</v>
      </c>
      <c r="E128" s="420">
        <f t="shared" ref="E128:M128" si="17">E125+E126</f>
        <v>20</v>
      </c>
      <c r="F128" s="420">
        <f t="shared" si="17"/>
        <v>439</v>
      </c>
      <c r="G128" s="420">
        <f t="shared" si="17"/>
        <v>439</v>
      </c>
      <c r="H128" s="420">
        <f t="shared" si="17"/>
        <v>514</v>
      </c>
      <c r="I128" s="420">
        <f t="shared" si="17"/>
        <v>514</v>
      </c>
      <c r="J128" s="420">
        <f t="shared" si="17"/>
        <v>514</v>
      </c>
      <c r="K128" s="420">
        <f t="shared" si="17"/>
        <v>514</v>
      </c>
      <c r="L128" s="420">
        <f t="shared" si="17"/>
        <v>1197</v>
      </c>
      <c r="M128" s="425">
        <f t="shared" si="17"/>
        <v>1252</v>
      </c>
      <c r="N128" s="420"/>
      <c r="O128" s="420"/>
      <c r="P128" s="420"/>
    </row>
    <row r="129" spans="2:16" x14ac:dyDescent="0.2">
      <c r="C129" s="426" t="s">
        <v>2222</v>
      </c>
      <c r="D129" s="420">
        <f>D124+D127</f>
        <v>0</v>
      </c>
      <c r="E129" s="420">
        <f t="shared" ref="E129:M129" si="18">E124+E127</f>
        <v>190</v>
      </c>
      <c r="F129" s="420">
        <f t="shared" si="18"/>
        <v>524</v>
      </c>
      <c r="G129" s="420">
        <f t="shared" si="18"/>
        <v>529</v>
      </c>
      <c r="H129" s="420">
        <f t="shared" si="18"/>
        <v>964</v>
      </c>
      <c r="I129" s="420">
        <f t="shared" si="18"/>
        <v>964</v>
      </c>
      <c r="J129" s="420">
        <f t="shared" si="18"/>
        <v>964</v>
      </c>
      <c r="K129" s="420">
        <f t="shared" si="18"/>
        <v>964</v>
      </c>
      <c r="L129" s="420">
        <f t="shared" si="18"/>
        <v>964</v>
      </c>
      <c r="M129" s="425">
        <f t="shared" si="18"/>
        <v>964</v>
      </c>
      <c r="N129" s="420"/>
      <c r="O129" s="420"/>
      <c r="P129" s="420"/>
    </row>
    <row r="130" spans="2:16" x14ac:dyDescent="0.2">
      <c r="C130" s="433" t="s">
        <v>2223</v>
      </c>
      <c r="D130" s="434">
        <f>D128+D129</f>
        <v>0</v>
      </c>
      <c r="E130" s="434">
        <f t="shared" ref="E130:M130" si="19">E128+E129</f>
        <v>210</v>
      </c>
      <c r="F130" s="434">
        <f t="shared" si="19"/>
        <v>963</v>
      </c>
      <c r="G130" s="434">
        <f t="shared" si="19"/>
        <v>968</v>
      </c>
      <c r="H130" s="434">
        <f t="shared" si="19"/>
        <v>1478</v>
      </c>
      <c r="I130" s="434">
        <f t="shared" si="19"/>
        <v>1478</v>
      </c>
      <c r="J130" s="434">
        <f t="shared" si="19"/>
        <v>1478</v>
      </c>
      <c r="K130" s="434">
        <f t="shared" si="19"/>
        <v>1478</v>
      </c>
      <c r="L130" s="434">
        <f t="shared" si="19"/>
        <v>2161</v>
      </c>
      <c r="M130" s="435">
        <f t="shared" si="19"/>
        <v>2216</v>
      </c>
      <c r="N130" s="420">
        <v>2216</v>
      </c>
      <c r="O130" s="420"/>
      <c r="P130" s="420"/>
    </row>
    <row r="131" spans="2:16" ht="26.25" thickBot="1" x14ac:dyDescent="0.25">
      <c r="C131" s="427" t="s">
        <v>2214</v>
      </c>
      <c r="D131" s="428">
        <v>62</v>
      </c>
      <c r="E131" s="428">
        <v>9</v>
      </c>
      <c r="F131" s="428">
        <v>19</v>
      </c>
      <c r="G131" s="428">
        <v>61</v>
      </c>
      <c r="H131" s="428">
        <v>26</v>
      </c>
      <c r="I131" s="428">
        <v>16</v>
      </c>
      <c r="J131" s="428">
        <v>16</v>
      </c>
      <c r="K131" s="428">
        <v>16</v>
      </c>
      <c r="L131" s="428">
        <v>16</v>
      </c>
      <c r="M131" s="429">
        <v>11</v>
      </c>
      <c r="N131" s="420"/>
      <c r="O131" s="420"/>
      <c r="P131" s="420"/>
    </row>
    <row r="132" spans="2:16" x14ac:dyDescent="0.2">
      <c r="N132" s="420"/>
      <c r="O132" s="420"/>
      <c r="P132" s="420"/>
    </row>
    <row r="134" spans="2:16" ht="13.5" thickBot="1" x14ac:dyDescent="0.25">
      <c r="C134" s="45" t="s">
        <v>2219</v>
      </c>
      <c r="P134" s="45" t="s">
        <v>2243</v>
      </c>
    </row>
    <row r="135" spans="2:16" x14ac:dyDescent="0.2">
      <c r="B135" s="436"/>
      <c r="C135" s="437"/>
      <c r="D135" s="437">
        <v>2012</v>
      </c>
      <c r="E135" s="437">
        <v>2013</v>
      </c>
      <c r="F135" s="437">
        <v>2014</v>
      </c>
      <c r="G135" s="437">
        <v>2015</v>
      </c>
      <c r="H135" s="437">
        <v>2016</v>
      </c>
      <c r="I135" s="437">
        <v>2017</v>
      </c>
      <c r="J135" s="437">
        <v>2018</v>
      </c>
      <c r="K135" s="437">
        <v>2019</v>
      </c>
      <c r="L135" s="437">
        <v>2020</v>
      </c>
      <c r="M135" s="437">
        <v>2021</v>
      </c>
      <c r="N135" s="437">
        <v>2022</v>
      </c>
      <c r="O135" s="438">
        <v>2023</v>
      </c>
    </row>
    <row r="136" spans="2:16" x14ac:dyDescent="0.2">
      <c r="B136" s="439" t="s">
        <v>244</v>
      </c>
      <c r="C136" s="45" t="s">
        <v>243</v>
      </c>
      <c r="D136" s="45">
        <v>0</v>
      </c>
      <c r="E136" s="45">
        <v>0</v>
      </c>
      <c r="F136" s="45">
        <f>(E129-D129)/1000</f>
        <v>0.19</v>
      </c>
      <c r="G136" s="45">
        <f t="shared" ref="G136:N136" si="20">(F129-E129)/1000</f>
        <v>0.33400000000000002</v>
      </c>
      <c r="H136" s="45">
        <f t="shared" si="20"/>
        <v>5.0000000000000001E-3</v>
      </c>
      <c r="I136" s="45">
        <f t="shared" si="20"/>
        <v>0.435</v>
      </c>
      <c r="J136" s="45">
        <f t="shared" si="20"/>
        <v>0</v>
      </c>
      <c r="K136" s="45">
        <f t="shared" si="20"/>
        <v>0</v>
      </c>
      <c r="L136" s="45">
        <f t="shared" si="20"/>
        <v>0</v>
      </c>
      <c r="M136" s="45">
        <f t="shared" si="20"/>
        <v>0</v>
      </c>
      <c r="N136" s="45">
        <f t="shared" si="20"/>
        <v>0</v>
      </c>
      <c r="O136" s="440"/>
      <c r="P136" s="45">
        <f>SUM(D136:O136)</f>
        <v>0.96399999999999997</v>
      </c>
    </row>
    <row r="137" spans="2:16" x14ac:dyDescent="0.2">
      <c r="B137" s="439" t="s">
        <v>242</v>
      </c>
      <c r="C137" s="45" t="s">
        <v>241</v>
      </c>
      <c r="D137" s="45">
        <v>0</v>
      </c>
      <c r="E137" s="45">
        <v>0</v>
      </c>
      <c r="F137" s="45">
        <f>(E128-D128)/1000</f>
        <v>0.02</v>
      </c>
      <c r="G137" s="45">
        <f t="shared" ref="G137:N137" si="21">(F128-E128)/1000</f>
        <v>0.41899999999999998</v>
      </c>
      <c r="H137" s="45">
        <f t="shared" si="21"/>
        <v>0</v>
      </c>
      <c r="I137" s="45">
        <f t="shared" si="21"/>
        <v>7.4999999999999997E-2</v>
      </c>
      <c r="J137" s="45">
        <f t="shared" si="21"/>
        <v>0</v>
      </c>
      <c r="K137" s="45">
        <f t="shared" si="21"/>
        <v>0</v>
      </c>
      <c r="L137" s="45">
        <f t="shared" si="21"/>
        <v>0</v>
      </c>
      <c r="M137" s="45">
        <f t="shared" si="21"/>
        <v>0.68300000000000005</v>
      </c>
      <c r="N137" s="45">
        <f t="shared" si="21"/>
        <v>5.5E-2</v>
      </c>
      <c r="O137" s="333">
        <f>K163</f>
        <v>7.1069999999999744E-2</v>
      </c>
      <c r="P137" s="45">
        <f t="shared" ref="P137:P139" si="22">SUM(D137:O137)</f>
        <v>1.3230699999999997</v>
      </c>
    </row>
    <row r="138" spans="2:16" x14ac:dyDescent="0.2">
      <c r="B138" s="439" t="s">
        <v>240</v>
      </c>
      <c r="C138" s="45" t="s">
        <v>239</v>
      </c>
      <c r="D138" s="45">
        <v>0</v>
      </c>
      <c r="E138" s="45">
        <v>0</v>
      </c>
      <c r="F138" s="45">
        <f>(E123-D123)/1000</f>
        <v>0.25700000000000001</v>
      </c>
      <c r="G138" s="45">
        <f t="shared" ref="G138:N138" si="23">(F123-E123)/1000</f>
        <v>0.371</v>
      </c>
      <c r="H138" s="45">
        <f>(G123-F123)/1000+0.1</f>
        <v>0.55100000000000005</v>
      </c>
      <c r="I138" s="45">
        <f t="shared" si="23"/>
        <v>0.39400000000000002</v>
      </c>
      <c r="J138" s="45">
        <f t="shared" si="23"/>
        <v>0.621</v>
      </c>
      <c r="K138" s="45">
        <f t="shared" si="23"/>
        <v>0</v>
      </c>
      <c r="L138" s="45">
        <f t="shared" si="23"/>
        <v>0</v>
      </c>
      <c r="M138" s="45">
        <f t="shared" si="23"/>
        <v>0.41599999999999998</v>
      </c>
      <c r="N138" s="45">
        <f t="shared" si="23"/>
        <v>0.52800000000000002</v>
      </c>
      <c r="O138" s="441">
        <f>(N123-M123)/1000+K164</f>
        <v>0.30459000000000047</v>
      </c>
      <c r="P138" s="45">
        <f t="shared" si="22"/>
        <v>3.4425900000000005</v>
      </c>
    </row>
    <row r="139" spans="2:16" x14ac:dyDescent="0.2">
      <c r="B139" s="439"/>
      <c r="C139" s="45" t="s">
        <v>2225</v>
      </c>
      <c r="F139" s="45">
        <f>(E121-D121)/1000</f>
        <v>0</v>
      </c>
      <c r="G139" s="45">
        <f t="shared" ref="G139:N139" si="24">(F121-E121)/1000</f>
        <v>0.1</v>
      </c>
      <c r="H139" s="45">
        <f t="shared" si="24"/>
        <v>0.05</v>
      </c>
      <c r="I139" s="45">
        <f t="shared" si="24"/>
        <v>0.05</v>
      </c>
      <c r="J139" s="45">
        <f t="shared" si="24"/>
        <v>0.1</v>
      </c>
      <c r="K139" s="45">
        <f t="shared" si="24"/>
        <v>0.2</v>
      </c>
      <c r="L139" s="45">
        <f t="shared" si="24"/>
        <v>0</v>
      </c>
      <c r="M139" s="45">
        <f t="shared" si="24"/>
        <v>0</v>
      </c>
      <c r="N139" s="45">
        <f t="shared" si="24"/>
        <v>0</v>
      </c>
      <c r="O139" s="440"/>
      <c r="P139" s="45">
        <f t="shared" si="22"/>
        <v>0.5</v>
      </c>
    </row>
    <row r="140" spans="2:16" ht="13.5" thickBot="1" x14ac:dyDescent="0.25">
      <c r="B140" s="442"/>
      <c r="C140" s="443"/>
      <c r="D140" s="443"/>
      <c r="E140" s="443"/>
      <c r="F140" s="443"/>
      <c r="G140" s="443"/>
      <c r="H140" s="443"/>
      <c r="I140" s="443"/>
      <c r="J140" s="443"/>
      <c r="K140" s="443"/>
      <c r="L140" s="443"/>
      <c r="M140" s="443"/>
      <c r="N140" s="443"/>
      <c r="O140" s="444"/>
    </row>
    <row r="143" spans="2:16" x14ac:dyDescent="0.2">
      <c r="G143"/>
    </row>
    <row r="144" spans="2:16" x14ac:dyDescent="0.2">
      <c r="C144" s="45" t="s">
        <v>2235</v>
      </c>
      <c r="G144"/>
    </row>
    <row r="145" spans="3:16" ht="15.75" x14ac:dyDescent="0.25">
      <c r="C145" s="446" t="s">
        <v>2229</v>
      </c>
      <c r="D145" s="446" t="s">
        <v>2230</v>
      </c>
      <c r="E145" s="446"/>
      <c r="F145" s="446"/>
      <c r="G145"/>
    </row>
    <row r="146" spans="3:16" ht="15.75" x14ac:dyDescent="0.25">
      <c r="C146" s="447" t="s">
        <v>2231</v>
      </c>
      <c r="D146" s="447" t="s">
        <v>2232</v>
      </c>
      <c r="E146" s="447" t="s">
        <v>2233</v>
      </c>
      <c r="F146" s="447" t="s">
        <v>2234</v>
      </c>
    </row>
    <row r="147" spans="3:16" x14ac:dyDescent="0.2">
      <c r="C147" s="445" t="s">
        <v>2227</v>
      </c>
      <c r="D147">
        <v>100</v>
      </c>
      <c r="E147"/>
      <c r="F147">
        <v>100</v>
      </c>
    </row>
    <row r="148" spans="3:16" x14ac:dyDescent="0.2">
      <c r="C148" s="445" t="s">
        <v>1121</v>
      </c>
      <c r="D148"/>
      <c r="E148">
        <v>279.20000000000005</v>
      </c>
      <c r="F148">
        <v>279.20000000000005</v>
      </c>
    </row>
    <row r="149" spans="3:16" x14ac:dyDescent="0.2">
      <c r="C149" s="445" t="s">
        <v>2228</v>
      </c>
      <c r="D149"/>
      <c r="E149">
        <v>75</v>
      </c>
      <c r="F149">
        <v>75</v>
      </c>
    </row>
    <row r="150" spans="3:16" ht="15.75" x14ac:dyDescent="0.25">
      <c r="C150" s="448" t="s">
        <v>2234</v>
      </c>
      <c r="D150" s="449">
        <v>100</v>
      </c>
      <c r="E150" s="449">
        <v>354.20000000000005</v>
      </c>
      <c r="F150" s="449">
        <v>454.20000000000005</v>
      </c>
    </row>
    <row r="151" spans="3:16" x14ac:dyDescent="0.2">
      <c r="C151" s="45" t="s">
        <v>2242</v>
      </c>
    </row>
    <row r="152" spans="3:16" ht="15.75" x14ac:dyDescent="0.25">
      <c r="C152" s="446" t="s">
        <v>2229</v>
      </c>
      <c r="D152" s="446" t="s">
        <v>2230</v>
      </c>
      <c r="E152" s="446"/>
      <c r="F152" s="446"/>
      <c r="G152" s="446"/>
      <c r="H152" s="446"/>
      <c r="I152" s="446"/>
      <c r="L152" s="45" t="s">
        <v>2244</v>
      </c>
      <c r="M152" s="45" t="s">
        <v>2245</v>
      </c>
      <c r="N152" s="45" t="s">
        <v>1517</v>
      </c>
      <c r="O152" s="45" t="s">
        <v>2247</v>
      </c>
      <c r="P152" s="45" t="s">
        <v>2246</v>
      </c>
    </row>
    <row r="153" spans="3:16" ht="15.75" x14ac:dyDescent="0.25">
      <c r="C153" s="447" t="s">
        <v>2231</v>
      </c>
      <c r="D153" s="447" t="s">
        <v>2236</v>
      </c>
      <c r="E153" s="447" t="s">
        <v>2237</v>
      </c>
      <c r="F153" s="447" t="s">
        <v>2238</v>
      </c>
      <c r="G153" s="447" t="s">
        <v>2232</v>
      </c>
      <c r="H153" s="447" t="s">
        <v>2233</v>
      </c>
      <c r="I153" s="447" t="s">
        <v>2234</v>
      </c>
      <c r="K153" s="45" t="s">
        <v>243</v>
      </c>
      <c r="L153" s="97">
        <f>(I156+I159)/1000</f>
        <v>0.96335000000000004</v>
      </c>
      <c r="M153" s="97">
        <v>0</v>
      </c>
      <c r="N153" s="97">
        <f>L153+M153</f>
        <v>0.96335000000000004</v>
      </c>
      <c r="O153" s="451">
        <f>P136</f>
        <v>0.96399999999999997</v>
      </c>
    </row>
    <row r="154" spans="3:16" x14ac:dyDescent="0.2">
      <c r="C154" s="445" t="s">
        <v>2227</v>
      </c>
      <c r="D154">
        <v>150</v>
      </c>
      <c r="E154">
        <v>50</v>
      </c>
      <c r="F154">
        <v>200</v>
      </c>
      <c r="G154">
        <v>100</v>
      </c>
      <c r="H154"/>
      <c r="I154">
        <v>500</v>
      </c>
      <c r="K154" s="45" t="s">
        <v>241</v>
      </c>
      <c r="L154" s="97">
        <f>(I157+I158)/1000</f>
        <v>1.2487200000000001</v>
      </c>
      <c r="M154" s="97">
        <f>F149/1000</f>
        <v>7.4999999999999997E-2</v>
      </c>
      <c r="N154" s="97">
        <f t="shared" ref="N154:N156" si="25">L154+M154</f>
        <v>1.32372</v>
      </c>
      <c r="O154" s="97">
        <f>P137</f>
        <v>1.3230699999999997</v>
      </c>
      <c r="P154" s="333">
        <f>O154-N154</f>
        <v>-6.5000000000026148E-4</v>
      </c>
    </row>
    <row r="155" spans="3:16" x14ac:dyDescent="0.2">
      <c r="C155" s="445" t="s">
        <v>1121</v>
      </c>
      <c r="D155">
        <v>639.34</v>
      </c>
      <c r="E155">
        <v>555.13</v>
      </c>
      <c r="F155">
        <v>785.31000000000006</v>
      </c>
      <c r="G155"/>
      <c r="H155">
        <v>1083.6100000000001</v>
      </c>
      <c r="I155">
        <v>3063.3900000000003</v>
      </c>
      <c r="K155" s="45" t="s">
        <v>239</v>
      </c>
      <c r="L155" s="97">
        <f>I155/1000</f>
        <v>3.0633900000000005</v>
      </c>
      <c r="M155" s="97">
        <f>F148/1000</f>
        <v>0.27920000000000006</v>
      </c>
      <c r="N155" s="97">
        <f t="shared" si="25"/>
        <v>3.3425900000000004</v>
      </c>
      <c r="O155" s="97">
        <f>P138-0.1</f>
        <v>3.3425900000000004</v>
      </c>
      <c r="P155" s="97">
        <f>O155-N155</f>
        <v>0</v>
      </c>
    </row>
    <row r="156" spans="3:16" x14ac:dyDescent="0.2">
      <c r="C156" s="445" t="s">
        <v>2239</v>
      </c>
      <c r="D156">
        <v>351.75</v>
      </c>
      <c r="E156">
        <v>92.7</v>
      </c>
      <c r="F156">
        <v>225</v>
      </c>
      <c r="G156"/>
      <c r="H156"/>
      <c r="I156">
        <v>669.45</v>
      </c>
      <c r="K156" s="45" t="s">
        <v>2225</v>
      </c>
      <c r="L156" s="97">
        <f>I154/1000</f>
        <v>0.5</v>
      </c>
      <c r="M156" s="97">
        <f>F147/1000</f>
        <v>0.1</v>
      </c>
      <c r="N156" s="97">
        <f t="shared" si="25"/>
        <v>0.6</v>
      </c>
      <c r="O156" s="97">
        <f>P139</f>
        <v>0.5</v>
      </c>
      <c r="P156" s="97">
        <f>O156-N156</f>
        <v>-9.9999999999999978E-2</v>
      </c>
    </row>
    <row r="157" spans="3:16" x14ac:dyDescent="0.2">
      <c r="C157" s="445" t="s">
        <v>2240</v>
      </c>
      <c r="D157">
        <v>36</v>
      </c>
      <c r="E157"/>
      <c r="F157"/>
      <c r="G157"/>
      <c r="H157"/>
      <c r="I157">
        <v>36</v>
      </c>
    </row>
    <row r="158" spans="3:16" x14ac:dyDescent="0.2">
      <c r="C158" s="445" t="s">
        <v>2228</v>
      </c>
      <c r="D158">
        <v>162.42000000000002</v>
      </c>
      <c r="E158">
        <v>237.39999999999998</v>
      </c>
      <c r="F158">
        <v>75</v>
      </c>
      <c r="G158"/>
      <c r="H158">
        <v>737.9</v>
      </c>
      <c r="I158">
        <v>1212.72</v>
      </c>
    </row>
    <row r="159" spans="3:16" x14ac:dyDescent="0.2">
      <c r="C159" s="445" t="s">
        <v>2241</v>
      </c>
      <c r="D159">
        <v>75</v>
      </c>
      <c r="E159">
        <v>83.9</v>
      </c>
      <c r="F159">
        <v>135</v>
      </c>
      <c r="G159"/>
      <c r="H159"/>
      <c r="I159">
        <v>293.89999999999998</v>
      </c>
    </row>
    <row r="160" spans="3:16" ht="15.75" x14ac:dyDescent="0.25">
      <c r="C160" s="448" t="s">
        <v>2234</v>
      </c>
      <c r="D160" s="449">
        <v>1414.5100000000002</v>
      </c>
      <c r="E160" s="449">
        <v>1019.13</v>
      </c>
      <c r="F160" s="449">
        <v>1420.31</v>
      </c>
      <c r="G160" s="449">
        <v>100</v>
      </c>
      <c r="H160" s="449">
        <v>1821.5100000000002</v>
      </c>
      <c r="I160" s="449">
        <v>5775.46</v>
      </c>
    </row>
    <row r="161" spans="3:15" x14ac:dyDescent="0.2">
      <c r="I161" s="45" t="s">
        <v>2249</v>
      </c>
      <c r="J161" s="45" t="s">
        <v>2250</v>
      </c>
      <c r="K161" s="45" t="s">
        <v>2251</v>
      </c>
      <c r="M161" s="450"/>
      <c r="O161" s="66"/>
    </row>
    <row r="162" spans="3:15" x14ac:dyDescent="0.2">
      <c r="C162" s="45" t="s">
        <v>2248</v>
      </c>
      <c r="D162" s="45">
        <v>2019</v>
      </c>
      <c r="E162" s="45">
        <v>2020</v>
      </c>
      <c r="F162" s="45">
        <v>2021</v>
      </c>
      <c r="G162" s="45">
        <v>2022</v>
      </c>
    </row>
    <row r="163" spans="3:15" x14ac:dyDescent="0.2">
      <c r="C163" s="45" t="s">
        <v>1471</v>
      </c>
      <c r="D163" s="45">
        <v>0</v>
      </c>
      <c r="E163" s="45">
        <v>114</v>
      </c>
      <c r="F163" s="45">
        <v>300</v>
      </c>
      <c r="G163" s="45">
        <v>400</v>
      </c>
      <c r="I163" s="333">
        <f>N153+N154</f>
        <v>2.2870699999999999</v>
      </c>
      <c r="J163" s="333">
        <f>M130/1000</f>
        <v>2.2160000000000002</v>
      </c>
      <c r="K163" s="333">
        <f>I163-J163</f>
        <v>7.1069999999999744E-2</v>
      </c>
    </row>
    <row r="164" spans="3:15" x14ac:dyDescent="0.2">
      <c r="C164" s="45" t="s">
        <v>239</v>
      </c>
      <c r="D164" s="45">
        <v>244</v>
      </c>
      <c r="E164" s="45">
        <v>300</v>
      </c>
      <c r="F164" s="45">
        <v>818</v>
      </c>
      <c r="I164" s="97">
        <f>N155</f>
        <v>3.3425900000000004</v>
      </c>
      <c r="J164" s="97">
        <f>N123/1000</f>
        <v>3.1779999999999999</v>
      </c>
      <c r="K164" s="333">
        <f>I164-J164</f>
        <v>0.16459000000000046</v>
      </c>
    </row>
  </sheetData>
  <hyperlinks>
    <hyperlink ref="C19" r:id="rId1" xr:uid="{EE2C7FA5-23D4-4C0A-8475-763357CEA5BF}"/>
  </hyperlinks>
  <pageMargins left="0.7" right="0.7" top="0.75" bottom="0.75" header="0.3" footer="0.3"/>
  <pageSetup orientation="portrait" horizontalDpi="300" verticalDpi="300" r:id="rId2"/>
  <drawing r:id="rId3"/>
  <legacyDrawing r:id="rId4"/>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69DA1-0A86-46F7-BBF3-4D14FAE644F7}">
  <sheetPr codeName="Sheet9">
    <tabColor theme="9"/>
  </sheetPr>
  <dimension ref="A1:AG71"/>
  <sheetViews>
    <sheetView topLeftCell="A20" workbookViewId="0">
      <selection activeCell="L37" sqref="L37:L40"/>
    </sheetView>
  </sheetViews>
  <sheetFormatPr defaultRowHeight="15" x14ac:dyDescent="0.25"/>
  <cols>
    <col min="1" max="2" width="9.140625" style="508"/>
    <col min="3" max="3" width="14.140625" style="508" customWidth="1"/>
    <col min="4" max="16384" width="9.140625" style="508"/>
  </cols>
  <sheetData>
    <row r="1" spans="1:32" ht="20.25" thickBot="1" x14ac:dyDescent="0.35">
      <c r="A1" s="505" t="str">
        <f ca="1">MID(CELL("filename",A1),FIND("]",CELL("filename",A1))+1,255)</f>
        <v>OnsitePV</v>
      </c>
      <c r="B1" s="506" t="s">
        <v>2516</v>
      </c>
      <c r="C1" s="506"/>
      <c r="D1" s="506"/>
      <c r="E1" s="506"/>
      <c r="F1" s="506"/>
      <c r="G1" s="507" t="s">
        <v>2517</v>
      </c>
    </row>
    <row r="2" spans="1:32" ht="15.75" thickTop="1" x14ac:dyDescent="0.25"/>
    <row r="3" spans="1:32" x14ac:dyDescent="0.25">
      <c r="C3" s="45" t="s">
        <v>2518</v>
      </c>
      <c r="D3" s="45"/>
      <c r="E3" s="45"/>
      <c r="F3" s="45"/>
      <c r="H3" s="45"/>
      <c r="I3" s="45"/>
      <c r="J3" s="45"/>
      <c r="K3" s="45"/>
      <c r="L3" s="45"/>
      <c r="M3" s="45"/>
      <c r="N3" s="45"/>
      <c r="O3" s="45"/>
      <c r="P3" s="45"/>
      <c r="Q3" s="45"/>
      <c r="R3" s="45"/>
      <c r="S3" s="45"/>
    </row>
    <row r="4" spans="1:32" x14ac:dyDescent="0.25">
      <c r="C4" s="222"/>
      <c r="D4" s="45"/>
      <c r="E4" s="45"/>
      <c r="F4" s="45"/>
      <c r="G4" s="45"/>
      <c r="H4" s="45"/>
      <c r="I4" s="45"/>
      <c r="J4" s="45"/>
      <c r="K4" s="45"/>
      <c r="L4" s="45"/>
      <c r="M4" s="45"/>
      <c r="N4" s="45"/>
      <c r="O4" s="45"/>
      <c r="P4" s="45"/>
      <c r="Q4" s="45"/>
      <c r="R4" s="45"/>
      <c r="S4" s="45"/>
    </row>
    <row r="5" spans="1:32" x14ac:dyDescent="0.25">
      <c r="C5" s="45"/>
      <c r="D5" s="45"/>
      <c r="E5" s="45"/>
      <c r="F5" s="45"/>
      <c r="G5" s="45"/>
      <c r="H5" s="45"/>
      <c r="I5" s="45"/>
      <c r="J5" s="45"/>
      <c r="K5" s="45"/>
      <c r="L5" s="45"/>
      <c r="M5" s="45"/>
      <c r="N5" s="45"/>
      <c r="O5" s="45"/>
      <c r="P5" s="45"/>
      <c r="Q5" s="45"/>
      <c r="R5" s="45"/>
      <c r="S5" s="45"/>
    </row>
    <row r="6" spans="1:32" x14ac:dyDescent="0.25">
      <c r="C6" s="45"/>
      <c r="D6" s="45">
        <v>2015</v>
      </c>
      <c r="E6" s="45">
        <v>2016</v>
      </c>
      <c r="F6" s="45">
        <v>2017</v>
      </c>
      <c r="G6" s="45">
        <v>2018</v>
      </c>
      <c r="H6" s="45">
        <v>2019</v>
      </c>
      <c r="I6" s="45">
        <v>2020</v>
      </c>
      <c r="J6" s="45">
        <v>2021</v>
      </c>
      <c r="K6" s="45">
        <v>2022</v>
      </c>
      <c r="L6" s="45">
        <v>2023</v>
      </c>
      <c r="M6" s="45">
        <v>2024</v>
      </c>
      <c r="N6" s="45">
        <v>2025</v>
      </c>
      <c r="O6" s="45">
        <v>2026</v>
      </c>
      <c r="P6" s="45">
        <v>2027</v>
      </c>
      <c r="Q6" s="45">
        <v>2028</v>
      </c>
      <c r="R6" s="45">
        <v>2029</v>
      </c>
      <c r="S6" s="45">
        <v>2030</v>
      </c>
    </row>
    <row r="7" spans="1:32" x14ac:dyDescent="0.25">
      <c r="C7" s="45" t="s">
        <v>2519</v>
      </c>
      <c r="D7" s="45">
        <v>154</v>
      </c>
      <c r="E7" s="45">
        <v>250</v>
      </c>
      <c r="F7" s="45">
        <v>384</v>
      </c>
      <c r="G7" s="45">
        <v>584</v>
      </c>
      <c r="H7" s="45">
        <v>884</v>
      </c>
      <c r="I7" s="45">
        <v>1234</v>
      </c>
      <c r="J7" s="45">
        <v>1634</v>
      </c>
      <c r="K7" s="45">
        <v>2300</v>
      </c>
      <c r="L7" s="45">
        <v>3050</v>
      </c>
      <c r="M7" s="45">
        <v>3716</v>
      </c>
      <c r="N7" s="45">
        <v>4216</v>
      </c>
      <c r="O7" s="45">
        <v>4716</v>
      </c>
      <c r="P7" s="45">
        <v>5216</v>
      </c>
      <c r="Q7" s="45">
        <v>5716</v>
      </c>
      <c r="R7" s="45">
        <v>6216</v>
      </c>
      <c r="S7" s="45">
        <v>6716</v>
      </c>
    </row>
    <row r="8" spans="1:32" x14ac:dyDescent="0.25">
      <c r="C8" s="45" t="s">
        <v>1947</v>
      </c>
      <c r="D8" s="45">
        <v>154</v>
      </c>
      <c r="E8" s="45">
        <v>250</v>
      </c>
      <c r="F8" s="45">
        <v>384</v>
      </c>
      <c r="G8" s="45">
        <v>584</v>
      </c>
      <c r="H8" s="45">
        <v>884</v>
      </c>
      <c r="I8" s="45">
        <v>1234</v>
      </c>
      <c r="J8" s="45">
        <v>1634</v>
      </c>
      <c r="K8" s="45">
        <v>2300</v>
      </c>
      <c r="L8" s="45">
        <v>3050</v>
      </c>
      <c r="M8" s="45">
        <v>3550</v>
      </c>
      <c r="N8" s="45">
        <v>3950</v>
      </c>
      <c r="O8" s="45">
        <v>4350</v>
      </c>
      <c r="P8" s="45">
        <v>4750</v>
      </c>
      <c r="Q8" s="45">
        <v>5150</v>
      </c>
      <c r="R8" s="45">
        <v>5550</v>
      </c>
      <c r="S8" s="45">
        <v>5950</v>
      </c>
    </row>
    <row r="9" spans="1:32" x14ac:dyDescent="0.25">
      <c r="C9" s="45" t="s">
        <v>1948</v>
      </c>
      <c r="D9" s="45">
        <v>154</v>
      </c>
      <c r="E9" s="45">
        <v>250</v>
      </c>
      <c r="F9" s="45">
        <v>384</v>
      </c>
      <c r="G9" s="45">
        <v>584</v>
      </c>
      <c r="H9" s="45">
        <v>884</v>
      </c>
      <c r="I9" s="45">
        <v>1234</v>
      </c>
      <c r="J9" s="45">
        <v>1634</v>
      </c>
      <c r="K9" s="45">
        <v>2600</v>
      </c>
      <c r="L9" s="45">
        <v>6250</v>
      </c>
      <c r="M9" s="45">
        <v>8250</v>
      </c>
      <c r="N9" s="45">
        <v>9750</v>
      </c>
      <c r="O9" s="45">
        <v>10750</v>
      </c>
      <c r="P9" s="45">
        <v>11750</v>
      </c>
      <c r="Q9" s="45">
        <v>12750</v>
      </c>
      <c r="R9" s="45">
        <v>13750</v>
      </c>
      <c r="S9" s="45">
        <v>14750</v>
      </c>
    </row>
    <row r="10" spans="1:32" x14ac:dyDescent="0.25">
      <c r="C10" s="45"/>
      <c r="D10" s="45"/>
      <c r="E10" s="45"/>
      <c r="F10" s="45"/>
      <c r="G10" s="45"/>
      <c r="H10" s="45"/>
      <c r="I10" s="45"/>
      <c r="J10" s="45"/>
      <c r="K10" s="45"/>
      <c r="L10" s="45"/>
      <c r="M10" s="45"/>
      <c r="N10" s="45"/>
      <c r="O10" s="45"/>
      <c r="P10" s="45"/>
      <c r="Q10" s="45"/>
      <c r="R10" s="45"/>
      <c r="S10" s="45"/>
    </row>
    <row r="11" spans="1:32" x14ac:dyDescent="0.25">
      <c r="C11" s="45"/>
      <c r="D11" s="45"/>
      <c r="E11" s="45"/>
      <c r="F11" s="45"/>
      <c r="G11" s="45"/>
      <c r="H11" s="45"/>
      <c r="I11" s="45"/>
      <c r="J11" s="45"/>
      <c r="K11" s="45"/>
      <c r="L11" s="45"/>
      <c r="M11" s="45"/>
      <c r="N11" s="45"/>
      <c r="O11" s="45"/>
      <c r="P11" s="45"/>
      <c r="Q11" s="45"/>
      <c r="R11" s="45"/>
      <c r="S11" s="45"/>
      <c r="AF11" s="508">
        <f>90+450+120</f>
        <v>660</v>
      </c>
    </row>
    <row r="12" spans="1:32" x14ac:dyDescent="0.25">
      <c r="C12" s="45"/>
      <c r="D12" s="45"/>
      <c r="E12" s="45"/>
      <c r="F12" s="45"/>
      <c r="G12" s="45"/>
      <c r="H12" s="45"/>
      <c r="I12" s="45"/>
      <c r="J12" s="45"/>
      <c r="K12" s="45"/>
      <c r="L12" s="45"/>
      <c r="M12" s="45"/>
      <c r="N12" s="45"/>
      <c r="O12" s="45"/>
      <c r="P12" s="45"/>
      <c r="Q12" s="45"/>
      <c r="R12" s="45"/>
      <c r="S12" s="45"/>
      <c r="AF12" s="508">
        <f>(AF11+AF13)/2</f>
        <v>770</v>
      </c>
    </row>
    <row r="13" spans="1:32" x14ac:dyDescent="0.25">
      <c r="C13" s="45"/>
      <c r="D13" s="45"/>
      <c r="E13" s="45"/>
      <c r="F13" s="45"/>
      <c r="G13" s="45"/>
      <c r="H13" s="45"/>
      <c r="I13" s="45"/>
      <c r="J13" s="45"/>
      <c r="K13" s="45"/>
      <c r="L13" s="45"/>
      <c r="M13" s="45"/>
      <c r="N13" s="45"/>
      <c r="O13" s="45"/>
      <c r="P13" s="45"/>
      <c r="Q13" s="45"/>
      <c r="R13" s="45"/>
      <c r="S13" s="45"/>
      <c r="AF13" s="508">
        <f>120+600+160</f>
        <v>880</v>
      </c>
    </row>
    <row r="14" spans="1:32" x14ac:dyDescent="0.25">
      <c r="C14" s="45"/>
      <c r="D14" s="45"/>
      <c r="E14" s="45"/>
      <c r="F14" s="45"/>
      <c r="G14" s="45"/>
      <c r="H14" s="45"/>
      <c r="I14" s="45"/>
      <c r="J14" s="45"/>
      <c r="K14" s="45"/>
      <c r="L14" s="45"/>
      <c r="M14" s="45"/>
      <c r="N14" s="45"/>
      <c r="O14" s="45"/>
      <c r="P14" s="45"/>
      <c r="Q14" s="45"/>
      <c r="R14" s="45"/>
      <c r="S14" s="45"/>
      <c r="AF14" s="508">
        <f>250+1650+400</f>
        <v>2300</v>
      </c>
    </row>
    <row r="15" spans="1:32" x14ac:dyDescent="0.25">
      <c r="C15" s="45"/>
      <c r="D15" s="45"/>
      <c r="E15" s="45"/>
      <c r="F15" s="45"/>
      <c r="G15" s="45"/>
      <c r="H15" s="45"/>
      <c r="I15" s="45"/>
      <c r="J15" s="45"/>
      <c r="K15" s="45"/>
      <c r="L15" s="45"/>
      <c r="M15" s="45"/>
      <c r="N15" s="45"/>
      <c r="O15" s="45"/>
      <c r="P15" s="45"/>
      <c r="Q15" s="45"/>
      <c r="R15" s="45"/>
      <c r="S15" s="45"/>
    </row>
    <row r="16" spans="1:32" x14ac:dyDescent="0.25">
      <c r="C16" s="45"/>
      <c r="D16" s="45"/>
      <c r="E16" s="45"/>
      <c r="F16" s="45"/>
      <c r="G16" s="45"/>
      <c r="H16" s="45"/>
      <c r="I16" s="45"/>
      <c r="J16" s="45"/>
      <c r="K16" s="45"/>
      <c r="L16" s="45"/>
      <c r="M16" s="45"/>
      <c r="N16" s="45"/>
      <c r="O16" s="45"/>
      <c r="P16" s="45"/>
      <c r="Q16" s="45"/>
      <c r="R16" s="45"/>
      <c r="S16" s="45"/>
    </row>
    <row r="17" spans="3:33" x14ac:dyDescent="0.25">
      <c r="C17" s="45"/>
      <c r="D17" s="45"/>
      <c r="E17" s="45"/>
      <c r="F17" s="45"/>
      <c r="G17" s="45"/>
      <c r="H17" s="45"/>
      <c r="I17" s="45"/>
      <c r="J17" s="45"/>
      <c r="K17" s="45"/>
      <c r="L17" s="45"/>
      <c r="M17" s="45"/>
      <c r="N17" s="45"/>
      <c r="O17" s="45"/>
      <c r="P17" s="45"/>
      <c r="Q17" s="45"/>
      <c r="R17" s="45"/>
      <c r="S17" s="45"/>
    </row>
    <row r="18" spans="3:33" x14ac:dyDescent="0.25">
      <c r="C18" s="45"/>
      <c r="D18" s="45"/>
      <c r="E18" s="45"/>
      <c r="F18" s="45"/>
      <c r="G18" s="45"/>
      <c r="H18" s="45"/>
      <c r="I18" s="45"/>
      <c r="J18" s="45"/>
      <c r="K18" s="45"/>
      <c r="L18" s="45"/>
      <c r="M18" s="45"/>
      <c r="N18" s="45"/>
      <c r="O18" s="45"/>
      <c r="P18" s="45"/>
      <c r="Q18" s="45"/>
      <c r="R18" s="45"/>
      <c r="S18" s="45"/>
      <c r="W18" s="508" t="s">
        <v>2520</v>
      </c>
    </row>
    <row r="19" spans="3:33" x14ac:dyDescent="0.25">
      <c r="C19" s="45" t="s">
        <v>2521</v>
      </c>
      <c r="D19" s="509" t="s">
        <v>2533</v>
      </c>
      <c r="E19" s="45">
        <f>MATCH(D19,C53:C56,0)</f>
        <v>4</v>
      </c>
      <c r="F19" s="45"/>
      <c r="G19" s="45"/>
      <c r="H19" s="45"/>
      <c r="I19" s="45"/>
      <c r="J19" s="45"/>
      <c r="K19" s="45"/>
      <c r="L19" s="45"/>
      <c r="M19" s="45"/>
      <c r="N19" s="45"/>
      <c r="O19" s="45"/>
      <c r="P19" s="45"/>
      <c r="Q19" s="45"/>
      <c r="R19" s="45"/>
      <c r="S19" s="45"/>
    </row>
    <row r="20" spans="3:33" x14ac:dyDescent="0.25">
      <c r="C20" s="45"/>
      <c r="D20" s="45">
        <v>2015</v>
      </c>
      <c r="E20" s="45">
        <v>2016</v>
      </c>
      <c r="F20" s="45">
        <v>2017</v>
      </c>
      <c r="G20" s="45">
        <v>2018</v>
      </c>
      <c r="H20" s="45">
        <v>2019</v>
      </c>
      <c r="I20" s="45">
        <v>2020</v>
      </c>
      <c r="J20" s="45">
        <v>2021</v>
      </c>
      <c r="K20" s="45">
        <v>2022</v>
      </c>
      <c r="L20" s="45">
        <v>2023</v>
      </c>
      <c r="M20" s="45">
        <v>2024</v>
      </c>
      <c r="N20" s="45">
        <v>2025</v>
      </c>
      <c r="O20" s="45">
        <v>2026</v>
      </c>
      <c r="P20" s="45">
        <v>2027</v>
      </c>
      <c r="Q20" s="45">
        <v>2028</v>
      </c>
      <c r="R20" s="45">
        <v>2029</v>
      </c>
      <c r="S20" s="45">
        <v>2030</v>
      </c>
      <c r="AG20" s="508" t="s">
        <v>2522</v>
      </c>
    </row>
    <row r="21" spans="3:33" x14ac:dyDescent="0.25">
      <c r="C21" s="45" t="s">
        <v>1119</v>
      </c>
      <c r="D21" s="44">
        <v>154</v>
      </c>
      <c r="E21" s="44">
        <v>250</v>
      </c>
      <c r="F21" s="44">
        <v>384</v>
      </c>
      <c r="G21" s="44">
        <v>584</v>
      </c>
      <c r="H21" s="44">
        <v>884</v>
      </c>
      <c r="I21" s="44">
        <v>1234</v>
      </c>
      <c r="J21" s="44">
        <v>1634</v>
      </c>
      <c r="K21" s="45">
        <f t="shared" ref="K21:N21" si="0">J21+K29</f>
        <v>2600</v>
      </c>
      <c r="L21" s="45">
        <f t="shared" si="0"/>
        <v>4425</v>
      </c>
      <c r="M21" s="45">
        <f t="shared" si="0"/>
        <v>6425</v>
      </c>
      <c r="N21" s="45">
        <f t="shared" si="0"/>
        <v>7925</v>
      </c>
      <c r="O21" s="45">
        <f>N21+O29</f>
        <v>8925</v>
      </c>
      <c r="P21" s="45">
        <f>O21+P29</f>
        <v>9925</v>
      </c>
      <c r="Q21" s="45">
        <f>P21+Q29</f>
        <v>10925</v>
      </c>
      <c r="R21" s="45">
        <f>Q21+R29</f>
        <v>11925</v>
      </c>
      <c r="S21" s="45">
        <f>R21+S29</f>
        <v>12925</v>
      </c>
    </row>
    <row r="22" spans="3:33" x14ac:dyDescent="0.25">
      <c r="C22" s="45" t="s">
        <v>1415</v>
      </c>
      <c r="D22" s="44">
        <v>0.1</v>
      </c>
      <c r="E22" s="66">
        <f>($K22-$D22)/7+D22</f>
        <v>0.1142857142857143</v>
      </c>
      <c r="F22" s="66">
        <f t="shared" ref="F22:J22" si="1">($K22-$D22)/7+E22</f>
        <v>0.12857142857142859</v>
      </c>
      <c r="G22" s="66">
        <f t="shared" si="1"/>
        <v>0.14285714285714288</v>
      </c>
      <c r="H22" s="66">
        <f t="shared" si="1"/>
        <v>0.15714285714285717</v>
      </c>
      <c r="I22" s="66">
        <f t="shared" si="1"/>
        <v>0.17142857142857146</v>
      </c>
      <c r="J22" s="66">
        <f t="shared" si="1"/>
        <v>0.18571428571428575</v>
      </c>
      <c r="K22" s="44">
        <v>0.2</v>
      </c>
      <c r="L22" s="45">
        <f t="shared" ref="L22:R25" si="2">($S22-$I22)/10+K22</f>
        <v>0.19285714285714287</v>
      </c>
      <c r="M22" s="45">
        <f t="shared" si="2"/>
        <v>0.18571428571428572</v>
      </c>
      <c r="N22" s="45">
        <f t="shared" si="2"/>
        <v>0.17857142857142858</v>
      </c>
      <c r="O22" s="45">
        <f t="shared" si="2"/>
        <v>0.17142857142857143</v>
      </c>
      <c r="P22" s="45">
        <f t="shared" si="2"/>
        <v>0.16428571428571428</v>
      </c>
      <c r="Q22" s="45">
        <f t="shared" si="2"/>
        <v>0.15714285714285714</v>
      </c>
      <c r="R22" s="45">
        <f t="shared" si="2"/>
        <v>0.15</v>
      </c>
      <c r="S22" s="44">
        <v>0.1</v>
      </c>
    </row>
    <row r="23" spans="3:33" x14ac:dyDescent="0.25">
      <c r="C23" s="45" t="s">
        <v>1414</v>
      </c>
      <c r="D23" s="44">
        <v>0.05</v>
      </c>
      <c r="E23" s="66">
        <f t="shared" ref="E23:J26" si="3">($K23-$D23)/7+D23</f>
        <v>0.05</v>
      </c>
      <c r="F23" s="66">
        <f t="shared" si="3"/>
        <v>0.05</v>
      </c>
      <c r="G23" s="66">
        <f t="shared" si="3"/>
        <v>0.05</v>
      </c>
      <c r="H23" s="66">
        <f t="shared" si="3"/>
        <v>0.05</v>
      </c>
      <c r="I23" s="66">
        <f t="shared" si="3"/>
        <v>0.05</v>
      </c>
      <c r="J23" s="66">
        <f t="shared" si="3"/>
        <v>0.05</v>
      </c>
      <c r="K23" s="44">
        <v>0.05</v>
      </c>
      <c r="L23" s="45">
        <f t="shared" si="2"/>
        <v>5.5E-2</v>
      </c>
      <c r="M23" s="45">
        <f t="shared" si="2"/>
        <v>0.06</v>
      </c>
      <c r="N23" s="45">
        <f t="shared" si="2"/>
        <v>6.5000000000000002E-2</v>
      </c>
      <c r="O23" s="45">
        <f t="shared" si="2"/>
        <v>7.0000000000000007E-2</v>
      </c>
      <c r="P23" s="45">
        <f t="shared" si="2"/>
        <v>7.5000000000000011E-2</v>
      </c>
      <c r="Q23" s="45">
        <f t="shared" si="2"/>
        <v>8.0000000000000016E-2</v>
      </c>
      <c r="R23" s="45">
        <f t="shared" si="2"/>
        <v>8.500000000000002E-2</v>
      </c>
      <c r="S23" s="44">
        <v>0.1</v>
      </c>
    </row>
    <row r="24" spans="3:33" x14ac:dyDescent="0.25">
      <c r="C24" s="45" t="s">
        <v>2523</v>
      </c>
      <c r="D24" s="44">
        <v>0.1</v>
      </c>
      <c r="E24" s="66">
        <f t="shared" si="3"/>
        <v>0.1</v>
      </c>
      <c r="F24" s="66">
        <f t="shared" si="3"/>
        <v>0.1</v>
      </c>
      <c r="G24" s="66">
        <f t="shared" si="3"/>
        <v>0.1</v>
      </c>
      <c r="H24" s="66">
        <f t="shared" si="3"/>
        <v>0.1</v>
      </c>
      <c r="I24" s="66">
        <f t="shared" si="3"/>
        <v>0.1</v>
      </c>
      <c r="J24" s="66">
        <f t="shared" si="3"/>
        <v>0.1</v>
      </c>
      <c r="K24" s="44">
        <v>0.1</v>
      </c>
      <c r="L24" s="45">
        <f t="shared" si="2"/>
        <v>0.11</v>
      </c>
      <c r="M24" s="45">
        <f t="shared" si="2"/>
        <v>0.12</v>
      </c>
      <c r="N24" s="45">
        <f t="shared" si="2"/>
        <v>0.13</v>
      </c>
      <c r="O24" s="45">
        <f t="shared" si="2"/>
        <v>0.14000000000000001</v>
      </c>
      <c r="P24" s="45">
        <f t="shared" si="2"/>
        <v>0.15000000000000002</v>
      </c>
      <c r="Q24" s="45">
        <f t="shared" si="2"/>
        <v>0.16000000000000003</v>
      </c>
      <c r="R24" s="45">
        <f t="shared" si="2"/>
        <v>0.17000000000000004</v>
      </c>
      <c r="S24" s="44">
        <v>0.2</v>
      </c>
    </row>
    <row r="25" spans="3:33" x14ac:dyDescent="0.25">
      <c r="C25" s="45" t="s">
        <v>1118</v>
      </c>
      <c r="D25" s="44">
        <v>0.7</v>
      </c>
      <c r="E25" s="66">
        <f t="shared" si="3"/>
        <v>0.67142857142857137</v>
      </c>
      <c r="F25" s="66">
        <f t="shared" si="3"/>
        <v>0.64285714285714279</v>
      </c>
      <c r="G25" s="66">
        <f t="shared" si="3"/>
        <v>0.61428571428571421</v>
      </c>
      <c r="H25" s="66">
        <f t="shared" si="3"/>
        <v>0.58571428571428563</v>
      </c>
      <c r="I25" s="66">
        <f t="shared" si="3"/>
        <v>0.55714285714285705</v>
      </c>
      <c r="J25" s="66">
        <f t="shared" si="3"/>
        <v>0.52857142857142847</v>
      </c>
      <c r="K25" s="44">
        <f>1-K22-K23-K24-K26</f>
        <v>0.5</v>
      </c>
      <c r="L25" s="45">
        <f t="shared" si="2"/>
        <v>0.49428571428571427</v>
      </c>
      <c r="M25" s="45">
        <f t="shared" si="2"/>
        <v>0.48857142857142855</v>
      </c>
      <c r="N25" s="45">
        <f t="shared" si="2"/>
        <v>0.48285714285714282</v>
      </c>
      <c r="O25" s="45">
        <f t="shared" si="2"/>
        <v>0.47714285714285709</v>
      </c>
      <c r="P25" s="45">
        <f t="shared" si="2"/>
        <v>0.47142857142857136</v>
      </c>
      <c r="Q25" s="45">
        <f t="shared" si="2"/>
        <v>0.46571428571428564</v>
      </c>
      <c r="R25" s="45">
        <f t="shared" si="2"/>
        <v>0.45999999999999991</v>
      </c>
      <c r="S25" s="44">
        <v>0.5</v>
      </c>
    </row>
    <row r="26" spans="3:33" x14ac:dyDescent="0.25">
      <c r="C26" s="45" t="s">
        <v>1117</v>
      </c>
      <c r="D26" s="44">
        <f t="shared" ref="D26:S26" si="4">1-SUM(D22:D25)</f>
        <v>5.0000000000000044E-2</v>
      </c>
      <c r="E26" s="66">
        <f t="shared" si="3"/>
        <v>6.4285714285714321E-2</v>
      </c>
      <c r="F26" s="66">
        <f t="shared" si="3"/>
        <v>7.8571428571428598E-2</v>
      </c>
      <c r="G26" s="66">
        <f t="shared" si="3"/>
        <v>9.2857142857142874E-2</v>
      </c>
      <c r="H26" s="66">
        <f t="shared" si="3"/>
        <v>0.10714285714285715</v>
      </c>
      <c r="I26" s="66">
        <f t="shared" si="3"/>
        <v>0.12142857142857143</v>
      </c>
      <c r="J26" s="66">
        <f t="shared" si="3"/>
        <v>0.1357142857142857</v>
      </c>
      <c r="K26" s="44">
        <v>0.15</v>
      </c>
      <c r="L26" s="45">
        <f t="shared" si="4"/>
        <v>0.14785714285714291</v>
      </c>
      <c r="M26" s="45">
        <f t="shared" si="4"/>
        <v>0.14571428571428569</v>
      </c>
      <c r="N26" s="45">
        <f t="shared" si="4"/>
        <v>0.14357142857142868</v>
      </c>
      <c r="O26" s="45">
        <f t="shared" si="4"/>
        <v>0.14142857142857146</v>
      </c>
      <c r="P26" s="45">
        <f t="shared" si="4"/>
        <v>0.13928571428571423</v>
      </c>
      <c r="Q26" s="45">
        <f t="shared" si="4"/>
        <v>0.13714285714285723</v>
      </c>
      <c r="R26" s="45">
        <f t="shared" si="4"/>
        <v>0.13500000000000001</v>
      </c>
      <c r="S26" s="44">
        <f t="shared" si="4"/>
        <v>9.9999999999999978E-2</v>
      </c>
    </row>
    <row r="27" spans="3:33" x14ac:dyDescent="0.25">
      <c r="C27" s="45"/>
      <c r="D27" s="45"/>
      <c r="E27" s="45"/>
      <c r="F27" s="45"/>
      <c r="G27" s="45"/>
      <c r="H27" s="45"/>
      <c r="I27" s="45"/>
      <c r="J27" s="45"/>
      <c r="K27" s="45"/>
      <c r="L27" s="45"/>
      <c r="M27" s="45"/>
      <c r="N27" s="45"/>
      <c r="O27" s="45"/>
      <c r="P27" s="45"/>
      <c r="Q27" s="45"/>
      <c r="R27" s="45"/>
      <c r="S27" s="45"/>
    </row>
    <row r="28" spans="3:33" x14ac:dyDescent="0.25">
      <c r="C28" s="45" t="s">
        <v>1115</v>
      </c>
      <c r="D28" s="45">
        <v>2015</v>
      </c>
      <c r="E28" s="45">
        <v>2016</v>
      </c>
      <c r="F28" s="45">
        <v>2017</v>
      </c>
      <c r="G28" s="45">
        <v>2018</v>
      </c>
      <c r="H28" s="45">
        <v>2019</v>
      </c>
      <c r="I28" s="45">
        <v>2020</v>
      </c>
      <c r="J28" s="45">
        <v>2021</v>
      </c>
      <c r="K28" s="45">
        <v>2022</v>
      </c>
      <c r="L28" s="45">
        <v>2023</v>
      </c>
      <c r="M28" s="45">
        <v>2024</v>
      </c>
      <c r="N28" s="45">
        <v>2025</v>
      </c>
      <c r="O28" s="45">
        <v>2026</v>
      </c>
      <c r="P28" s="45">
        <v>2027</v>
      </c>
      <c r="Q28" s="45">
        <v>2028</v>
      </c>
      <c r="R28" s="45">
        <v>2029</v>
      </c>
      <c r="S28" s="45">
        <v>2030</v>
      </c>
    </row>
    <row r="29" spans="3:33" x14ac:dyDescent="0.25">
      <c r="C29" s="45" t="s">
        <v>115</v>
      </c>
      <c r="D29" s="45" cm="1">
        <f t="array" ref="D29">INDEX(D53:D56,$E$19)</f>
        <v>130.9</v>
      </c>
      <c r="E29" s="45" cm="1">
        <f t="array" ref="E29">INDEX(E53:E56,$E$19)</f>
        <v>96</v>
      </c>
      <c r="F29" s="45" cm="1">
        <f t="array" ref="F29">INDEX(F53:F56,$E$19)</f>
        <v>134</v>
      </c>
      <c r="G29" s="45" cm="1">
        <f t="array" ref="G29">INDEX(G53:G56,$E$19)</f>
        <v>200</v>
      </c>
      <c r="H29" s="45" cm="1">
        <f t="array" ref="H29">INDEX(H53:H56,$E$19)</f>
        <v>300</v>
      </c>
      <c r="I29" s="45" cm="1">
        <f t="array" ref="I29">INDEX(I53:I56,$E$19)</f>
        <v>350</v>
      </c>
      <c r="J29" s="45" cm="1">
        <f t="array" ref="J29">INDEX(J53:J56,$E$19)</f>
        <v>400</v>
      </c>
      <c r="K29" s="45" cm="1">
        <f t="array" ref="K29">INDEX(K53:K56,$E$19)</f>
        <v>966</v>
      </c>
      <c r="L29" s="45" cm="1">
        <f t="array" ref="L29">INDEX(L53:L56,$E$19)</f>
        <v>1825</v>
      </c>
      <c r="M29" s="45" cm="1">
        <f t="array" ref="M29">INDEX(M53:M56,$E$19)</f>
        <v>2000</v>
      </c>
      <c r="N29" s="45" cm="1">
        <f t="array" ref="N29">INDEX(N53:N56,$E$19)</f>
        <v>1500</v>
      </c>
      <c r="O29" s="45" cm="1">
        <f t="array" ref="O29">INDEX(O53:O56,$E$19)</f>
        <v>1000</v>
      </c>
      <c r="P29" s="45" cm="1">
        <f t="array" ref="P29">INDEX(P53:P56,$E$19)</f>
        <v>1000</v>
      </c>
      <c r="Q29" s="45" cm="1">
        <f t="array" ref="Q29">INDEX(Q53:Q56,$E$19)</f>
        <v>1000</v>
      </c>
      <c r="R29" s="45" cm="1">
        <f t="array" ref="R29">INDEX(R53:R56,$E$19)</f>
        <v>1000</v>
      </c>
      <c r="S29" s="45" cm="1">
        <f t="array" ref="S29">INDEX(S53:S56,$E$19)</f>
        <v>1000</v>
      </c>
    </row>
    <row r="30" spans="3:33" x14ac:dyDescent="0.25">
      <c r="C30" s="508" t="str">
        <f>C22</f>
        <v>Agriculture</v>
      </c>
      <c r="D30" s="45">
        <f>D37</f>
        <v>13.090000000000002</v>
      </c>
      <c r="E30" s="45">
        <f t="shared" ref="E30:S34" si="5">E22*E$29</f>
        <v>10.971428571428572</v>
      </c>
      <c r="F30" s="45">
        <f t="shared" si="5"/>
        <v>17.228571428571431</v>
      </c>
      <c r="G30" s="45">
        <f t="shared" si="5"/>
        <v>28.571428571428577</v>
      </c>
      <c r="H30" s="45">
        <f t="shared" si="5"/>
        <v>47.142857142857153</v>
      </c>
      <c r="I30" s="45">
        <f t="shared" si="5"/>
        <v>60.000000000000007</v>
      </c>
      <c r="J30" s="45">
        <f t="shared" si="5"/>
        <v>74.285714285714306</v>
      </c>
      <c r="K30" s="45">
        <f t="shared" si="5"/>
        <v>193.20000000000002</v>
      </c>
      <c r="L30" s="45">
        <f t="shared" si="5"/>
        <v>351.96428571428572</v>
      </c>
      <c r="M30" s="45">
        <f t="shared" si="5"/>
        <v>371.42857142857144</v>
      </c>
      <c r="N30" s="45">
        <f t="shared" si="5"/>
        <v>267.85714285714289</v>
      </c>
      <c r="O30" s="45">
        <f t="shared" si="5"/>
        <v>171.42857142857142</v>
      </c>
      <c r="P30" s="45">
        <f t="shared" si="5"/>
        <v>164.28571428571428</v>
      </c>
      <c r="Q30" s="45">
        <f t="shared" si="5"/>
        <v>157.14285714285714</v>
      </c>
      <c r="R30" s="45">
        <f t="shared" si="5"/>
        <v>150</v>
      </c>
      <c r="S30" s="45">
        <f t="shared" si="5"/>
        <v>100</v>
      </c>
    </row>
    <row r="31" spans="3:33" x14ac:dyDescent="0.25">
      <c r="C31" s="508" t="str">
        <f>C23</f>
        <v>Mining</v>
      </c>
      <c r="D31" s="45">
        <f>D38</f>
        <v>6.5450000000000008</v>
      </c>
      <c r="E31" s="45">
        <f t="shared" si="5"/>
        <v>4.8000000000000007</v>
      </c>
      <c r="F31" s="45">
        <f t="shared" si="5"/>
        <v>6.7</v>
      </c>
      <c r="G31" s="45">
        <f t="shared" si="5"/>
        <v>10</v>
      </c>
      <c r="H31" s="45">
        <f t="shared" si="5"/>
        <v>15</v>
      </c>
      <c r="I31" s="45">
        <f t="shared" si="5"/>
        <v>17.5</v>
      </c>
      <c r="J31" s="45">
        <f t="shared" si="5"/>
        <v>20</v>
      </c>
      <c r="K31" s="45">
        <f t="shared" si="5"/>
        <v>48.300000000000004</v>
      </c>
      <c r="L31" s="45">
        <f t="shared" si="5"/>
        <v>100.375</v>
      </c>
      <c r="M31" s="45">
        <f t="shared" si="5"/>
        <v>120</v>
      </c>
      <c r="N31" s="45">
        <f t="shared" si="5"/>
        <v>97.5</v>
      </c>
      <c r="O31" s="45">
        <f t="shared" si="5"/>
        <v>70</v>
      </c>
      <c r="P31" s="45">
        <f t="shared" si="5"/>
        <v>75.000000000000014</v>
      </c>
      <c r="Q31" s="45">
        <f t="shared" si="5"/>
        <v>80.000000000000014</v>
      </c>
      <c r="R31" s="45">
        <f t="shared" si="5"/>
        <v>85.000000000000014</v>
      </c>
      <c r="S31" s="45">
        <f t="shared" si="5"/>
        <v>100</v>
      </c>
    </row>
    <row r="32" spans="3:33" x14ac:dyDescent="0.25">
      <c r="C32" s="508" t="str">
        <f>C24</f>
        <v>Manufacturing</v>
      </c>
      <c r="D32" s="45">
        <f>D39</f>
        <v>13.090000000000002</v>
      </c>
      <c r="E32" s="45">
        <f>E24*E$29</f>
        <v>9.6000000000000014</v>
      </c>
      <c r="F32" s="45">
        <f t="shared" si="5"/>
        <v>13.4</v>
      </c>
      <c r="G32" s="45">
        <f t="shared" si="5"/>
        <v>20</v>
      </c>
      <c r="H32" s="45">
        <f t="shared" si="5"/>
        <v>30</v>
      </c>
      <c r="I32" s="45">
        <f t="shared" si="5"/>
        <v>35</v>
      </c>
      <c r="J32" s="45">
        <f t="shared" si="5"/>
        <v>40</v>
      </c>
      <c r="K32" s="45">
        <f t="shared" si="5"/>
        <v>96.600000000000009</v>
      </c>
      <c r="L32" s="45">
        <f t="shared" si="5"/>
        <v>200.75</v>
      </c>
      <c r="M32" s="45">
        <f t="shared" si="5"/>
        <v>240</v>
      </c>
      <c r="N32" s="45">
        <f t="shared" si="5"/>
        <v>195</v>
      </c>
      <c r="O32" s="45">
        <f t="shared" si="5"/>
        <v>140</v>
      </c>
      <c r="P32" s="45">
        <f t="shared" si="5"/>
        <v>150.00000000000003</v>
      </c>
      <c r="Q32" s="45">
        <f t="shared" si="5"/>
        <v>160.00000000000003</v>
      </c>
      <c r="R32" s="45">
        <f t="shared" si="5"/>
        <v>170.00000000000003</v>
      </c>
      <c r="S32" s="45">
        <f t="shared" si="5"/>
        <v>200</v>
      </c>
    </row>
    <row r="33" spans="3:23" x14ac:dyDescent="0.25">
      <c r="C33" s="508" t="str">
        <f>C25</f>
        <v>Commercial</v>
      </c>
      <c r="D33" s="45">
        <f>D40</f>
        <v>91.63</v>
      </c>
      <c r="E33" s="45">
        <f t="shared" si="5"/>
        <v>64.457142857142856</v>
      </c>
      <c r="F33" s="45">
        <f t="shared" si="5"/>
        <v>86.142857142857139</v>
      </c>
      <c r="G33" s="45">
        <f t="shared" si="5"/>
        <v>122.85714285714285</v>
      </c>
      <c r="H33" s="45">
        <f t="shared" si="5"/>
        <v>175.71428571428569</v>
      </c>
      <c r="I33" s="45">
        <f t="shared" si="5"/>
        <v>194.99999999999997</v>
      </c>
      <c r="J33" s="45">
        <f t="shared" si="5"/>
        <v>211.42857142857139</v>
      </c>
      <c r="K33" s="45">
        <f t="shared" si="5"/>
        <v>483</v>
      </c>
      <c r="L33" s="45">
        <f t="shared" si="5"/>
        <v>902.07142857142856</v>
      </c>
      <c r="M33" s="45">
        <f t="shared" si="5"/>
        <v>977.14285714285711</v>
      </c>
      <c r="N33" s="45">
        <f t="shared" si="5"/>
        <v>724.28571428571422</v>
      </c>
      <c r="O33" s="45">
        <f t="shared" si="5"/>
        <v>477.14285714285711</v>
      </c>
      <c r="P33" s="45">
        <f t="shared" si="5"/>
        <v>471.42857142857139</v>
      </c>
      <c r="Q33" s="45">
        <f t="shared" si="5"/>
        <v>465.71428571428561</v>
      </c>
      <c r="R33" s="45">
        <f t="shared" si="5"/>
        <v>459.99999999999989</v>
      </c>
      <c r="S33" s="45">
        <f t="shared" si="5"/>
        <v>500</v>
      </c>
    </row>
    <row r="34" spans="3:23" x14ac:dyDescent="0.25">
      <c r="C34" s="508" t="str">
        <f>C26</f>
        <v>Residential</v>
      </c>
      <c r="D34" s="45">
        <f>D41</f>
        <v>6.5450000000000061</v>
      </c>
      <c r="E34" s="45">
        <f t="shared" si="5"/>
        <v>6.1714285714285744</v>
      </c>
      <c r="F34" s="45">
        <f t="shared" si="5"/>
        <v>10.528571428571432</v>
      </c>
      <c r="G34" s="45">
        <f t="shared" si="5"/>
        <v>18.571428571428577</v>
      </c>
      <c r="H34" s="45">
        <f t="shared" si="5"/>
        <v>32.142857142857146</v>
      </c>
      <c r="I34" s="45">
        <f t="shared" si="5"/>
        <v>42.5</v>
      </c>
      <c r="J34" s="45">
        <f t="shared" si="5"/>
        <v>54.285714285714285</v>
      </c>
      <c r="K34" s="45">
        <f t="shared" si="5"/>
        <v>144.9</v>
      </c>
      <c r="L34" s="45">
        <f t="shared" si="5"/>
        <v>269.83928571428584</v>
      </c>
      <c r="M34" s="45">
        <f t="shared" si="5"/>
        <v>291.42857142857139</v>
      </c>
      <c r="N34" s="45">
        <f t="shared" si="5"/>
        <v>215.35714285714303</v>
      </c>
      <c r="O34" s="45">
        <f t="shared" si="5"/>
        <v>141.42857142857144</v>
      </c>
      <c r="P34" s="45">
        <f t="shared" si="5"/>
        <v>139.28571428571422</v>
      </c>
      <c r="Q34" s="45">
        <f t="shared" si="5"/>
        <v>137.14285714285722</v>
      </c>
      <c r="R34" s="45">
        <f t="shared" si="5"/>
        <v>135</v>
      </c>
      <c r="S34" s="45">
        <f t="shared" si="5"/>
        <v>99.999999999999972</v>
      </c>
    </row>
    <row r="35" spans="3:23" x14ac:dyDescent="0.25">
      <c r="C35" s="45"/>
      <c r="D35" s="45"/>
      <c r="E35" s="45"/>
      <c r="F35" s="45"/>
      <c r="G35" s="45"/>
      <c r="H35" s="45"/>
      <c r="I35" s="45"/>
      <c r="J35" s="45"/>
      <c r="K35" s="45"/>
      <c r="L35" s="45"/>
      <c r="M35" s="45"/>
      <c r="N35" s="45"/>
      <c r="O35" s="45"/>
      <c r="P35" s="45"/>
      <c r="Q35" s="45"/>
      <c r="R35" s="45"/>
      <c r="S35" s="45"/>
    </row>
    <row r="36" spans="3:23" x14ac:dyDescent="0.25">
      <c r="C36" s="45" t="s">
        <v>1114</v>
      </c>
      <c r="D36" s="45">
        <v>2015</v>
      </c>
      <c r="E36" s="45">
        <v>2016</v>
      </c>
      <c r="F36" s="45">
        <v>2017</v>
      </c>
      <c r="G36" s="45">
        <v>2018</v>
      </c>
      <c r="H36" s="45">
        <v>2019</v>
      </c>
      <c r="I36" s="45">
        <v>2020</v>
      </c>
      <c r="J36" s="45">
        <v>2021</v>
      </c>
      <c r="K36" s="45">
        <v>2022</v>
      </c>
      <c r="L36" s="45">
        <v>2023</v>
      </c>
      <c r="M36" s="45">
        <v>2024</v>
      </c>
      <c r="N36" s="45">
        <v>2025</v>
      </c>
      <c r="O36" s="45">
        <v>2026</v>
      </c>
      <c r="P36" s="45">
        <v>2027</v>
      </c>
      <c r="Q36" s="45">
        <v>2028</v>
      </c>
      <c r="R36" s="45">
        <v>2029</v>
      </c>
      <c r="S36" s="45">
        <v>2030</v>
      </c>
    </row>
    <row r="37" spans="3:23" x14ac:dyDescent="0.25">
      <c r="C37" s="508" t="str">
        <f>C30</f>
        <v>Agriculture</v>
      </c>
      <c r="D37" s="45">
        <f>D22*D$29</f>
        <v>13.090000000000002</v>
      </c>
      <c r="E37" s="45">
        <f t="shared" ref="E37:S39" si="6">E30+D37</f>
        <v>24.061428571428571</v>
      </c>
      <c r="F37" s="45">
        <f t="shared" si="6"/>
        <v>41.290000000000006</v>
      </c>
      <c r="G37" s="45">
        <f t="shared" si="6"/>
        <v>69.861428571428576</v>
      </c>
      <c r="H37" s="45">
        <f t="shared" si="6"/>
        <v>117.00428571428573</v>
      </c>
      <c r="I37" s="45">
        <f t="shared" si="6"/>
        <v>177.00428571428574</v>
      </c>
      <c r="J37" s="45">
        <f t="shared" si="6"/>
        <v>251.29000000000005</v>
      </c>
      <c r="K37" s="45">
        <f t="shared" si="6"/>
        <v>444.49000000000007</v>
      </c>
      <c r="L37" s="45">
        <f t="shared" si="6"/>
        <v>796.45428571428579</v>
      </c>
      <c r="M37" s="45">
        <f t="shared" si="6"/>
        <v>1167.8828571428571</v>
      </c>
      <c r="N37" s="45">
        <f t="shared" si="6"/>
        <v>1435.74</v>
      </c>
      <c r="O37" s="45">
        <f t="shared" si="6"/>
        <v>1607.1685714285713</v>
      </c>
      <c r="P37" s="45">
        <f t="shared" si="6"/>
        <v>1771.4542857142856</v>
      </c>
      <c r="Q37" s="45">
        <f t="shared" si="6"/>
        <v>1928.5971428571427</v>
      </c>
      <c r="R37" s="45">
        <f t="shared" si="6"/>
        <v>2078.5971428571429</v>
      </c>
      <c r="S37" s="45">
        <f t="shared" si="6"/>
        <v>2178.5971428571429</v>
      </c>
    </row>
    <row r="38" spans="3:23" x14ac:dyDescent="0.25">
      <c r="C38" s="508" t="str">
        <f>C31</f>
        <v>Mining</v>
      </c>
      <c r="D38" s="45">
        <f t="shared" ref="D38:D41" si="7">D23*D$29</f>
        <v>6.5450000000000008</v>
      </c>
      <c r="E38" s="45">
        <f t="shared" si="6"/>
        <v>11.345000000000002</v>
      </c>
      <c r="F38" s="45">
        <f t="shared" si="6"/>
        <v>18.045000000000002</v>
      </c>
      <c r="G38" s="45">
        <f t="shared" si="6"/>
        <v>28.045000000000002</v>
      </c>
      <c r="H38" s="45">
        <f t="shared" si="6"/>
        <v>43.045000000000002</v>
      </c>
      <c r="I38" s="45">
        <f t="shared" si="6"/>
        <v>60.545000000000002</v>
      </c>
      <c r="J38" s="45">
        <f t="shared" si="6"/>
        <v>80.545000000000002</v>
      </c>
      <c r="K38" s="45">
        <f t="shared" si="6"/>
        <v>128.845</v>
      </c>
      <c r="L38" s="45">
        <f t="shared" si="6"/>
        <v>229.22</v>
      </c>
      <c r="M38" s="45">
        <f t="shared" si="6"/>
        <v>349.22</v>
      </c>
      <c r="N38" s="45">
        <f t="shared" si="6"/>
        <v>446.72</v>
      </c>
      <c r="O38" s="45">
        <f t="shared" si="6"/>
        <v>516.72</v>
      </c>
      <c r="P38" s="45">
        <f t="shared" si="6"/>
        <v>591.72</v>
      </c>
      <c r="Q38" s="45">
        <f t="shared" si="6"/>
        <v>671.72</v>
      </c>
      <c r="R38" s="45">
        <f t="shared" si="6"/>
        <v>756.72</v>
      </c>
      <c r="S38" s="45">
        <f t="shared" si="6"/>
        <v>856.72</v>
      </c>
    </row>
    <row r="39" spans="3:23" x14ac:dyDescent="0.25">
      <c r="C39" s="508" t="str">
        <f>C32</f>
        <v>Manufacturing</v>
      </c>
      <c r="D39" s="45">
        <f t="shared" si="7"/>
        <v>13.090000000000002</v>
      </c>
      <c r="E39" s="45">
        <f>E32+D39</f>
        <v>22.690000000000005</v>
      </c>
      <c r="F39" s="45">
        <f t="shared" si="6"/>
        <v>36.090000000000003</v>
      </c>
      <c r="G39" s="45">
        <f t="shared" si="6"/>
        <v>56.09</v>
      </c>
      <c r="H39" s="45">
        <f t="shared" si="6"/>
        <v>86.09</v>
      </c>
      <c r="I39" s="45">
        <f t="shared" si="6"/>
        <v>121.09</v>
      </c>
      <c r="J39" s="45">
        <f t="shared" si="6"/>
        <v>161.09</v>
      </c>
      <c r="K39" s="45">
        <f t="shared" si="6"/>
        <v>257.69</v>
      </c>
      <c r="L39" s="45">
        <f t="shared" si="6"/>
        <v>458.44</v>
      </c>
      <c r="M39" s="45">
        <f t="shared" si="6"/>
        <v>698.44</v>
      </c>
      <c r="N39" s="45">
        <f t="shared" si="6"/>
        <v>893.44</v>
      </c>
      <c r="O39" s="45">
        <f t="shared" si="6"/>
        <v>1033.44</v>
      </c>
      <c r="P39" s="45">
        <f t="shared" si="6"/>
        <v>1183.44</v>
      </c>
      <c r="Q39" s="45">
        <f t="shared" si="6"/>
        <v>1343.44</v>
      </c>
      <c r="R39" s="45">
        <f t="shared" si="6"/>
        <v>1513.44</v>
      </c>
      <c r="S39" s="45">
        <f t="shared" si="6"/>
        <v>1713.44</v>
      </c>
      <c r="W39" s="508" t="s">
        <v>2524</v>
      </c>
    </row>
    <row r="40" spans="3:23" x14ac:dyDescent="0.25">
      <c r="C40" s="508" t="str">
        <f>C33</f>
        <v>Commercial</v>
      </c>
      <c r="D40" s="45">
        <f t="shared" si="7"/>
        <v>91.63</v>
      </c>
      <c r="E40" s="45">
        <f t="shared" ref="E40:S41" si="8">E33+D40</f>
        <v>156.08714285714285</v>
      </c>
      <c r="F40" s="45">
        <f t="shared" si="8"/>
        <v>242.23</v>
      </c>
      <c r="G40" s="45">
        <f t="shared" si="8"/>
        <v>365.08714285714285</v>
      </c>
      <c r="H40" s="45">
        <f t="shared" si="8"/>
        <v>540.80142857142857</v>
      </c>
      <c r="I40" s="45">
        <f t="shared" si="8"/>
        <v>735.80142857142857</v>
      </c>
      <c r="J40" s="45">
        <f t="shared" si="8"/>
        <v>947.23</v>
      </c>
      <c r="K40" s="45">
        <f t="shared" si="8"/>
        <v>1430.23</v>
      </c>
      <c r="L40" s="45">
        <f t="shared" si="8"/>
        <v>2332.3014285714285</v>
      </c>
      <c r="M40" s="45">
        <f t="shared" si="8"/>
        <v>3309.4442857142858</v>
      </c>
      <c r="N40" s="45">
        <f t="shared" si="8"/>
        <v>4033.73</v>
      </c>
      <c r="O40" s="45">
        <f t="shared" si="8"/>
        <v>4510.8728571428574</v>
      </c>
      <c r="P40" s="45">
        <f t="shared" si="8"/>
        <v>4982.3014285714289</v>
      </c>
      <c r="Q40" s="45">
        <f t="shared" si="8"/>
        <v>5448.0157142857142</v>
      </c>
      <c r="R40" s="45">
        <f t="shared" si="8"/>
        <v>5908.0157142857142</v>
      </c>
      <c r="S40" s="45">
        <f t="shared" si="8"/>
        <v>6408.0157142857142</v>
      </c>
    </row>
    <row r="41" spans="3:23" x14ac:dyDescent="0.25">
      <c r="C41" s="508" t="str">
        <f>C34</f>
        <v>Residential</v>
      </c>
      <c r="D41" s="45">
        <f t="shared" si="7"/>
        <v>6.5450000000000061</v>
      </c>
      <c r="E41" s="45">
        <f t="shared" si="8"/>
        <v>12.71642857142858</v>
      </c>
      <c r="F41" s="45">
        <f t="shared" si="8"/>
        <v>23.245000000000012</v>
      </c>
      <c r="G41" s="45">
        <f t="shared" si="8"/>
        <v>41.816428571428588</v>
      </c>
      <c r="H41" s="45">
        <f t="shared" si="8"/>
        <v>73.959285714285727</v>
      </c>
      <c r="I41" s="45">
        <f t="shared" si="8"/>
        <v>116.45928571428573</v>
      </c>
      <c r="J41" s="45">
        <f t="shared" si="8"/>
        <v>170.745</v>
      </c>
      <c r="K41" s="45">
        <f t="shared" si="8"/>
        <v>315.64499999999998</v>
      </c>
      <c r="L41" s="45">
        <f t="shared" si="8"/>
        <v>585.48428571428576</v>
      </c>
      <c r="M41" s="45">
        <f t="shared" si="8"/>
        <v>876.91285714285709</v>
      </c>
      <c r="N41" s="45">
        <f t="shared" si="8"/>
        <v>1092.2700000000002</v>
      </c>
      <c r="O41" s="45">
        <f t="shared" si="8"/>
        <v>1233.6985714285715</v>
      </c>
      <c r="P41" s="45">
        <f t="shared" si="8"/>
        <v>1372.9842857142858</v>
      </c>
      <c r="Q41" s="45">
        <f t="shared" si="8"/>
        <v>1510.1271428571431</v>
      </c>
      <c r="R41" s="45">
        <f t="shared" si="8"/>
        <v>1645.1271428571431</v>
      </c>
      <c r="S41" s="45">
        <f t="shared" si="8"/>
        <v>1745.1271428571431</v>
      </c>
      <c r="W41" s="508" t="s">
        <v>2525</v>
      </c>
    </row>
    <row r="42" spans="3:23" x14ac:dyDescent="0.25">
      <c r="C42" s="508" t="s">
        <v>115</v>
      </c>
      <c r="D42" s="45">
        <f>SUM(D37:D41)</f>
        <v>130.9</v>
      </c>
      <c r="E42" s="45">
        <f t="shared" ref="E42:S42" si="9">SUM(E37:E41)</f>
        <v>226.90000000000003</v>
      </c>
      <c r="F42" s="45">
        <f t="shared" si="9"/>
        <v>360.9</v>
      </c>
      <c r="G42" s="45">
        <f t="shared" si="9"/>
        <v>560.9</v>
      </c>
      <c r="H42" s="45">
        <f t="shared" si="9"/>
        <v>860.90000000000009</v>
      </c>
      <c r="I42" s="45">
        <f t="shared" si="9"/>
        <v>1210.9000000000001</v>
      </c>
      <c r="J42" s="45">
        <f t="shared" si="9"/>
        <v>1610.9</v>
      </c>
      <c r="K42" s="45">
        <f t="shared" si="9"/>
        <v>2576.9</v>
      </c>
      <c r="L42" s="45">
        <f t="shared" si="9"/>
        <v>4401.8999999999996</v>
      </c>
      <c r="M42" s="45">
        <f t="shared" si="9"/>
        <v>6401.9000000000005</v>
      </c>
      <c r="N42" s="45">
        <f t="shared" si="9"/>
        <v>7901.9000000000005</v>
      </c>
      <c r="O42" s="45">
        <f t="shared" si="9"/>
        <v>8901.9</v>
      </c>
      <c r="P42" s="45">
        <f t="shared" si="9"/>
        <v>9901.9000000000015</v>
      </c>
      <c r="Q42" s="45">
        <f t="shared" si="9"/>
        <v>10901.9</v>
      </c>
      <c r="R42" s="45">
        <f t="shared" si="9"/>
        <v>11901.9</v>
      </c>
      <c r="S42" s="45">
        <f t="shared" si="9"/>
        <v>12901.9</v>
      </c>
    </row>
    <row r="43" spans="3:23" x14ac:dyDescent="0.25">
      <c r="E43" s="510">
        <f>E42/D42-1</f>
        <v>0.73338426279602764</v>
      </c>
      <c r="F43" s="510">
        <f t="shared" ref="F43:S43" si="10">F42/E42-1</f>
        <v>0.59056853239312446</v>
      </c>
      <c r="G43" s="510">
        <f t="shared" si="10"/>
        <v>0.55417013022998063</v>
      </c>
      <c r="H43" s="510">
        <f t="shared" si="10"/>
        <v>0.53485469780709605</v>
      </c>
      <c r="I43" s="510">
        <f t="shared" si="10"/>
        <v>0.40655128354048076</v>
      </c>
      <c r="J43" s="510">
        <f t="shared" si="10"/>
        <v>0.33033281030638362</v>
      </c>
      <c r="K43" s="510">
        <f t="shared" si="10"/>
        <v>0.59966478366130738</v>
      </c>
      <c r="L43" s="510">
        <f t="shared" si="10"/>
        <v>0.70821529745042477</v>
      </c>
      <c r="M43" s="510">
        <f t="shared" si="10"/>
        <v>0.45434925827483608</v>
      </c>
      <c r="N43" s="510">
        <f t="shared" si="10"/>
        <v>0.23430544057233016</v>
      </c>
      <c r="O43" s="510">
        <f t="shared" si="10"/>
        <v>0.12655184196205971</v>
      </c>
      <c r="P43" s="510">
        <f t="shared" si="10"/>
        <v>0.11233556881115292</v>
      </c>
      <c r="Q43" s="510">
        <f t="shared" si="10"/>
        <v>0.10099071895292799</v>
      </c>
      <c r="R43" s="510">
        <f t="shared" si="10"/>
        <v>9.17271301332796E-2</v>
      </c>
      <c r="S43" s="510">
        <f t="shared" si="10"/>
        <v>8.4020198455708739E-2</v>
      </c>
    </row>
    <row r="47" spans="3:23" x14ac:dyDescent="0.25">
      <c r="C47" s="508" t="s">
        <v>2526</v>
      </c>
    </row>
    <row r="48" spans="3:23" x14ac:dyDescent="0.25">
      <c r="C48" s="508" t="s">
        <v>2527</v>
      </c>
      <c r="D48" s="508">
        <v>4.0000000000000001E-3</v>
      </c>
      <c r="E48" s="508">
        <v>4.0000000000000001E-3</v>
      </c>
      <c r="F48" s="508">
        <v>4.0000000000000001E-3</v>
      </c>
      <c r="G48" s="508">
        <v>4.0000000000000001E-3</v>
      </c>
      <c r="H48" s="508">
        <v>4.0000000000000001E-3</v>
      </c>
      <c r="I48" s="508">
        <v>4.0000000000000001E-3</v>
      </c>
      <c r="J48" s="508">
        <v>4.0000000000000001E-3</v>
      </c>
      <c r="K48" s="508">
        <v>4.0000000000000001E-3</v>
      </c>
      <c r="L48" s="508">
        <v>4.0000000000000001E-3</v>
      </c>
      <c r="M48" s="508">
        <v>4.0000000000000001E-3</v>
      </c>
      <c r="N48" s="508">
        <v>4.0000000000000001E-3</v>
      </c>
      <c r="O48" s="508">
        <v>4.0000000000000001E-3</v>
      </c>
      <c r="P48" s="508">
        <v>4.0000000000000001E-3</v>
      </c>
      <c r="Q48" s="508">
        <v>4.0000000000000001E-3</v>
      </c>
      <c r="R48" s="508">
        <v>4.0000000000000001E-3</v>
      </c>
      <c r="S48" s="508">
        <v>4.0000000000000001E-3</v>
      </c>
    </row>
    <row r="49" spans="3:19" x14ac:dyDescent="0.25">
      <c r="C49" s="508" t="s">
        <v>2528</v>
      </c>
      <c r="D49" s="508">
        <f t="shared" ref="D49:S49" si="11">D41/D48</f>
        <v>1636.2500000000016</v>
      </c>
      <c r="E49" s="508">
        <f t="shared" si="11"/>
        <v>3179.1071428571449</v>
      </c>
      <c r="F49" s="508">
        <f t="shared" si="11"/>
        <v>5811.2500000000027</v>
      </c>
      <c r="G49" s="508">
        <f t="shared" si="11"/>
        <v>10454.107142857147</v>
      </c>
      <c r="H49" s="508">
        <f t="shared" si="11"/>
        <v>18489.821428571431</v>
      </c>
      <c r="I49" s="508">
        <f t="shared" si="11"/>
        <v>29114.821428571431</v>
      </c>
      <c r="J49" s="508">
        <f t="shared" si="11"/>
        <v>42686.25</v>
      </c>
      <c r="K49" s="508">
        <f t="shared" si="11"/>
        <v>78911.25</v>
      </c>
      <c r="L49" s="508">
        <f t="shared" si="11"/>
        <v>146371.07142857145</v>
      </c>
      <c r="M49" s="508">
        <f t="shared" si="11"/>
        <v>219228.21428571426</v>
      </c>
      <c r="N49" s="508">
        <f t="shared" si="11"/>
        <v>273067.50000000006</v>
      </c>
      <c r="O49" s="508">
        <f t="shared" si="11"/>
        <v>308424.6428571429</v>
      </c>
      <c r="P49" s="508">
        <f t="shared" si="11"/>
        <v>343246.07142857142</v>
      </c>
      <c r="Q49" s="508">
        <f t="shared" si="11"/>
        <v>377531.78571428574</v>
      </c>
      <c r="R49" s="508">
        <f t="shared" si="11"/>
        <v>411281.78571428574</v>
      </c>
      <c r="S49" s="508">
        <f t="shared" si="11"/>
        <v>436281.78571428574</v>
      </c>
    </row>
    <row r="51" spans="3:19" x14ac:dyDescent="0.25">
      <c r="C51" s="508" t="s">
        <v>2529</v>
      </c>
    </row>
    <row r="52" spans="3:19" x14ac:dyDescent="0.25">
      <c r="D52" s="45">
        <v>2015</v>
      </c>
      <c r="E52" s="45">
        <v>2016</v>
      </c>
      <c r="F52" s="45">
        <v>2017</v>
      </c>
      <c r="G52" s="45">
        <v>2018</v>
      </c>
      <c r="H52" s="45">
        <v>2019</v>
      </c>
      <c r="I52" s="45">
        <v>2020</v>
      </c>
      <c r="J52" s="45">
        <v>2021</v>
      </c>
      <c r="K52" s="45">
        <v>2022</v>
      </c>
      <c r="L52" s="45">
        <v>2023</v>
      </c>
      <c r="M52" s="45">
        <v>2024</v>
      </c>
      <c r="N52" s="45">
        <v>2025</v>
      </c>
      <c r="O52" s="45">
        <v>2026</v>
      </c>
      <c r="P52" s="45">
        <v>2027</v>
      </c>
      <c r="Q52" s="45">
        <v>2028</v>
      </c>
      <c r="R52" s="45">
        <v>2029</v>
      </c>
      <c r="S52" s="45">
        <v>2030</v>
      </c>
    </row>
    <row r="53" spans="3:19" x14ac:dyDescent="0.25">
      <c r="C53" s="508" t="s">
        <v>2530</v>
      </c>
      <c r="D53" s="508">
        <v>0</v>
      </c>
      <c r="E53" s="508">
        <v>0</v>
      </c>
      <c r="F53" s="508">
        <v>0</v>
      </c>
      <c r="G53" s="508">
        <v>0</v>
      </c>
      <c r="H53" s="508">
        <v>0</v>
      </c>
      <c r="I53" s="508">
        <v>0</v>
      </c>
      <c r="J53" s="508">
        <v>0</v>
      </c>
      <c r="K53" s="508">
        <v>0</v>
      </c>
      <c r="L53" s="508">
        <v>0</v>
      </c>
      <c r="M53" s="508">
        <v>0</v>
      </c>
      <c r="N53" s="508">
        <v>0</v>
      </c>
      <c r="O53" s="508">
        <v>0</v>
      </c>
      <c r="P53" s="508">
        <v>0</v>
      </c>
      <c r="Q53" s="508">
        <v>0</v>
      </c>
      <c r="R53" s="508">
        <v>0</v>
      </c>
      <c r="S53" s="508">
        <v>0</v>
      </c>
    </row>
    <row r="54" spans="3:19" x14ac:dyDescent="0.25">
      <c r="C54" s="508" t="s">
        <v>2531</v>
      </c>
      <c r="D54" s="508">
        <v>130.9</v>
      </c>
      <c r="E54" s="508">
        <v>96</v>
      </c>
      <c r="F54" s="508">
        <v>134</v>
      </c>
      <c r="G54" s="508">
        <v>200</v>
      </c>
      <c r="H54" s="508">
        <v>300</v>
      </c>
      <c r="I54" s="508">
        <v>350</v>
      </c>
      <c r="J54" s="508">
        <v>400</v>
      </c>
      <c r="K54" s="508">
        <v>666</v>
      </c>
      <c r="L54" s="44">
        <v>750</v>
      </c>
      <c r="M54" s="44">
        <v>666</v>
      </c>
      <c r="N54" s="44">
        <v>500</v>
      </c>
      <c r="O54" s="44">
        <v>500</v>
      </c>
      <c r="P54" s="44">
        <v>500</v>
      </c>
      <c r="Q54" s="44">
        <v>500</v>
      </c>
      <c r="R54" s="44">
        <v>500</v>
      </c>
      <c r="S54" s="44">
        <v>500</v>
      </c>
    </row>
    <row r="55" spans="3:19" x14ac:dyDescent="0.25">
      <c r="C55" s="508" t="s">
        <v>2532</v>
      </c>
      <c r="D55" s="508">
        <v>130.9</v>
      </c>
      <c r="E55" s="508">
        <v>96</v>
      </c>
      <c r="F55" s="508">
        <v>134</v>
      </c>
      <c r="G55" s="508">
        <v>200</v>
      </c>
      <c r="H55" s="508">
        <v>300</v>
      </c>
      <c r="I55" s="508">
        <v>350</v>
      </c>
      <c r="J55" s="508">
        <v>400</v>
      </c>
      <c r="K55" s="508">
        <v>666</v>
      </c>
      <c r="L55" s="44">
        <v>750</v>
      </c>
      <c r="M55" s="44">
        <v>500</v>
      </c>
      <c r="N55" s="44">
        <v>400</v>
      </c>
      <c r="O55" s="44">
        <v>400</v>
      </c>
      <c r="P55" s="44">
        <v>400</v>
      </c>
      <c r="Q55" s="44">
        <v>400</v>
      </c>
      <c r="R55" s="44">
        <v>400</v>
      </c>
      <c r="S55" s="44">
        <v>400</v>
      </c>
    </row>
    <row r="56" spans="3:19" x14ac:dyDescent="0.25">
      <c r="C56" s="508" t="s">
        <v>2533</v>
      </c>
      <c r="D56" s="508">
        <v>130.9</v>
      </c>
      <c r="E56" s="508">
        <v>96</v>
      </c>
      <c r="F56" s="508">
        <v>134</v>
      </c>
      <c r="G56" s="508">
        <v>200</v>
      </c>
      <c r="H56" s="508">
        <v>300</v>
      </c>
      <c r="I56" s="508">
        <v>350</v>
      </c>
      <c r="J56" s="508">
        <v>400</v>
      </c>
      <c r="K56" s="508">
        <f>666+300</f>
        <v>966</v>
      </c>
      <c r="L56" s="44">
        <f>(4411-2586)</f>
        <v>1825</v>
      </c>
      <c r="M56" s="44">
        <v>2000</v>
      </c>
      <c r="N56" s="44">
        <v>1500</v>
      </c>
      <c r="O56" s="44">
        <v>1000</v>
      </c>
      <c r="P56" s="44">
        <f t="shared" ref="P56:S56" si="12">O56</f>
        <v>1000</v>
      </c>
      <c r="Q56" s="44">
        <f t="shared" si="12"/>
        <v>1000</v>
      </c>
      <c r="R56" s="44">
        <f t="shared" si="12"/>
        <v>1000</v>
      </c>
      <c r="S56" s="44">
        <f t="shared" si="12"/>
        <v>1000</v>
      </c>
    </row>
    <row r="71" spans="23:23" x14ac:dyDescent="0.25">
      <c r="W71" s="508" t="s">
        <v>2534</v>
      </c>
    </row>
  </sheetData>
  <dataValidations count="1">
    <dataValidation type="list" allowBlank="1" showInputMessage="1" showErrorMessage="1" sqref="D19" xr:uid="{19D93B5F-8B84-4301-AC56-389FC942C0AA}">
      <formula1>$C$54:$C$56</formula1>
    </dataValidation>
  </dataValidations>
  <hyperlinks>
    <hyperlink ref="G1" location="Index!A1" display="Index" xr:uid="{D6728C5B-05B5-4E9A-BD65-1C2C036ACE92}"/>
  </hyperlinks>
  <pageMargins left="0.7" right="0.7" top="0.75" bottom="0.75" header="0.3" footer="0.3"/>
  <drawing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B7B5-44A0-42A2-BD2C-08E6A6149CCE}">
  <sheetPr codeName="Sheet24">
    <tabColor theme="7"/>
  </sheetPr>
  <dimension ref="A1:AK35"/>
  <sheetViews>
    <sheetView workbookViewId="0">
      <selection activeCell="A24" sqref="A24"/>
    </sheetView>
  </sheetViews>
  <sheetFormatPr defaultColWidth="9.140625" defaultRowHeight="15" x14ac:dyDescent="0.25"/>
  <cols>
    <col min="1" max="1" width="27.7109375" style="223" customWidth="1"/>
    <col min="2" max="17" width="14.7109375" style="223" customWidth="1"/>
    <col min="18" max="19" width="9.140625" style="223"/>
    <col min="20" max="20" width="12" style="223" customWidth="1"/>
    <col min="21" max="21" width="12.85546875" style="223" customWidth="1"/>
    <col min="22" max="35" width="12" style="223" customWidth="1"/>
    <col min="36" max="36" width="9.140625" style="223"/>
    <col min="37" max="37" width="14.140625" style="223" customWidth="1"/>
    <col min="38" max="16384" width="9.140625" style="223"/>
  </cols>
  <sheetData>
    <row r="1" spans="1:37" x14ac:dyDescent="0.25">
      <c r="A1" s="223" t="s">
        <v>1877</v>
      </c>
      <c r="T1" s="224"/>
      <c r="U1" s="224"/>
      <c r="V1" s="224"/>
      <c r="W1" s="224"/>
      <c r="X1" s="224"/>
      <c r="Y1" s="224"/>
      <c r="Z1" s="224"/>
      <c r="AA1" s="224"/>
      <c r="AB1" s="224"/>
      <c r="AC1" s="224"/>
      <c r="AD1" s="224"/>
      <c r="AE1" s="224"/>
      <c r="AF1" s="224"/>
    </row>
    <row r="2" spans="1:37" x14ac:dyDescent="0.25">
      <c r="A2" s="223" t="s">
        <v>1219</v>
      </c>
      <c r="B2" s="223" t="str">
        <f>ProcDataGen2012On!C11</f>
        <v>Generic Waterberg Coal Plant</v>
      </c>
      <c r="C2" s="223" t="str">
        <f>ProcDataGen2012On!C15</f>
        <v>Fluidised Bed Combustion Coal</v>
      </c>
      <c r="D2" s="223" t="str">
        <f>ProcDataGen2012On!C17</f>
        <v>Nuclear Mid</v>
      </c>
      <c r="E2" s="223" t="str">
        <f>ProcDataGen2012On!C23</f>
        <v>Open Cycle Gas Turbine - LNG</v>
      </c>
      <c r="F2" s="223" t="str">
        <f>ProcDataGen2012On!C25</f>
        <v>Combined Cycle Gas Turbine - LNG</v>
      </c>
      <c r="G2" s="223" t="str">
        <f>ProcDataGen2012On!C26</f>
        <v>Combined Cycle Gas Turbine - LNG with CCS</v>
      </c>
      <c r="H2" s="223" t="str">
        <f>ProcDataGen2012On!C27</f>
        <v>Gas Engines - LNG</v>
      </c>
      <c r="L2" s="353" t="str">
        <f>ProcDataGen2012On!C12</f>
        <v>Generic Waterberg Coal Plant with CCS</v>
      </c>
      <c r="M2" s="223" t="str">
        <f>ProcDataGen2012On!C13</f>
        <v>Pumped Storage New Ingula - Single Storage Tech</v>
      </c>
      <c r="Q2" s="223" t="str">
        <f>ProcDataGen2012On!C30</f>
        <v>Utility Scale Storage - 4hrs</v>
      </c>
      <c r="T2" s="223" t="str">
        <f>ProcDataGen2012On!C21</f>
        <v>Wind</v>
      </c>
      <c r="U2" s="223" t="str">
        <f>ProcDataGen2012On!C19</f>
        <v>Solar PV Fixed</v>
      </c>
      <c r="V2" s="223" t="str">
        <f>ProcDataGen2012On!C20</f>
        <v>Solar PV tracking</v>
      </c>
      <c r="AC2" s="223" t="str">
        <f>ProcDataGen2012On!C18</f>
        <v>Solar Central Receiver 09 hrs storage</v>
      </c>
      <c r="AE2" s="223" t="str">
        <f>ProcDataGen2012On!C28</f>
        <v>Biomass municipal waste</v>
      </c>
      <c r="AF2" s="223" t="str">
        <f>ProcDataGen2012On!C29</f>
        <v>Landfill gas</v>
      </c>
      <c r="AK2" s="223" t="str">
        <f>ProcDataGen2012On!C16</f>
        <v>Micro hydro</v>
      </c>
    </row>
    <row r="3" spans="1:37" x14ac:dyDescent="0.25">
      <c r="A3" s="501" t="s">
        <v>2489</v>
      </c>
    </row>
    <row r="4" spans="1:37" ht="78" customHeight="1" x14ac:dyDescent="0.25">
      <c r="A4" s="248"/>
      <c r="B4" s="245" t="s">
        <v>1218</v>
      </c>
      <c r="C4" s="245" t="s">
        <v>1217</v>
      </c>
      <c r="D4" s="245" t="s">
        <v>1216</v>
      </c>
      <c r="E4" s="245" t="s">
        <v>718</v>
      </c>
      <c r="F4" s="245" t="s">
        <v>1215</v>
      </c>
      <c r="G4" s="352" t="s">
        <v>1905</v>
      </c>
      <c r="H4" s="245" t="s">
        <v>1214</v>
      </c>
      <c r="I4" s="245" t="s">
        <v>1213</v>
      </c>
      <c r="J4" s="245" t="s">
        <v>1212</v>
      </c>
      <c r="K4" s="245" t="s">
        <v>1211</v>
      </c>
      <c r="L4" s="352" t="s">
        <v>1902</v>
      </c>
      <c r="M4" s="245" t="s">
        <v>1210</v>
      </c>
      <c r="N4" s="245" t="s">
        <v>1209</v>
      </c>
      <c r="O4" s="245" t="s">
        <v>1208</v>
      </c>
      <c r="P4" s="245" t="s">
        <v>1207</v>
      </c>
      <c r="Q4" s="245" t="s">
        <v>1206</v>
      </c>
      <c r="S4" s="247"/>
      <c r="T4" s="245" t="s">
        <v>239</v>
      </c>
      <c r="U4" s="245" t="s">
        <v>1205</v>
      </c>
      <c r="V4" s="245" t="s">
        <v>1204</v>
      </c>
      <c r="W4" s="245" t="s">
        <v>1203</v>
      </c>
      <c r="X4" s="245" t="s">
        <v>1202</v>
      </c>
      <c r="Y4" s="245" t="s">
        <v>1201</v>
      </c>
      <c r="Z4" s="245" t="s">
        <v>1200</v>
      </c>
      <c r="AA4" s="245" t="s">
        <v>1199</v>
      </c>
      <c r="AB4" s="245" t="s">
        <v>1198</v>
      </c>
      <c r="AC4" s="245" t="s">
        <v>1197</v>
      </c>
      <c r="AD4" s="245" t="s">
        <v>1196</v>
      </c>
      <c r="AE4" s="245" t="s">
        <v>1195</v>
      </c>
      <c r="AF4" s="245" t="s">
        <v>1194</v>
      </c>
      <c r="AG4" s="245" t="s">
        <v>127</v>
      </c>
      <c r="AH4" s="245" t="s">
        <v>1193</v>
      </c>
      <c r="AI4" s="245" t="s">
        <v>1192</v>
      </c>
      <c r="AJ4" s="246"/>
      <c r="AK4" s="245" t="s">
        <v>754</v>
      </c>
    </row>
    <row r="5" spans="1:37" x14ac:dyDescent="0.25">
      <c r="A5" s="244" t="s">
        <v>1191</v>
      </c>
      <c r="B5" s="235">
        <v>4500</v>
      </c>
      <c r="C5" s="235">
        <v>250</v>
      </c>
      <c r="D5" s="235">
        <v>1400</v>
      </c>
      <c r="E5" s="235">
        <v>132</v>
      </c>
      <c r="F5" s="235">
        <v>732</v>
      </c>
      <c r="G5" s="235">
        <v>635</v>
      </c>
      <c r="H5" s="235">
        <v>1.9</v>
      </c>
      <c r="I5" s="235">
        <v>9.4</v>
      </c>
      <c r="J5" s="235">
        <v>12</v>
      </c>
      <c r="K5" s="235">
        <v>500</v>
      </c>
      <c r="L5" s="237">
        <v>4500</v>
      </c>
      <c r="M5" s="235">
        <v>333</v>
      </c>
      <c r="N5" s="235">
        <v>3</v>
      </c>
      <c r="O5" s="235">
        <v>3</v>
      </c>
      <c r="P5" s="235">
        <v>180</v>
      </c>
      <c r="Q5" s="235">
        <v>4</v>
      </c>
      <c r="S5" s="243"/>
      <c r="T5" s="235">
        <v>139.22999999999999</v>
      </c>
      <c r="U5" s="235">
        <v>10</v>
      </c>
      <c r="V5" s="235">
        <v>10</v>
      </c>
      <c r="W5" s="235">
        <v>10</v>
      </c>
      <c r="X5" s="235">
        <v>125</v>
      </c>
      <c r="Y5" s="235">
        <v>125</v>
      </c>
      <c r="Z5" s="235">
        <v>125</v>
      </c>
      <c r="AA5" s="235">
        <v>125</v>
      </c>
      <c r="AB5" s="235">
        <v>125</v>
      </c>
      <c r="AC5" s="235">
        <v>125</v>
      </c>
      <c r="AD5" s="235">
        <v>25</v>
      </c>
      <c r="AE5" s="235">
        <v>25</v>
      </c>
      <c r="AF5" s="235">
        <v>5</v>
      </c>
      <c r="AG5" s="235">
        <v>5</v>
      </c>
      <c r="AH5" s="235">
        <v>49</v>
      </c>
      <c r="AI5" s="235">
        <v>52.5</v>
      </c>
      <c r="AK5" s="235">
        <v>2500</v>
      </c>
    </row>
    <row r="6" spans="1:37" ht="45" customHeight="1" x14ac:dyDescent="0.25">
      <c r="A6" s="238" t="s">
        <v>1190</v>
      </c>
      <c r="B6" s="231">
        <v>40031</v>
      </c>
      <c r="C6" s="231">
        <v>48319</v>
      </c>
      <c r="D6" s="231">
        <v>69764.05</v>
      </c>
      <c r="E6" s="231">
        <v>9226</v>
      </c>
      <c r="F6" s="231">
        <v>10131</v>
      </c>
      <c r="G6" s="231">
        <v>22262</v>
      </c>
      <c r="H6" s="231">
        <v>14394</v>
      </c>
      <c r="I6" s="231">
        <v>15427</v>
      </c>
      <c r="J6" s="231">
        <v>9267.654997835496</v>
      </c>
      <c r="K6" s="231">
        <v>0</v>
      </c>
      <c r="L6" s="242">
        <v>77434</v>
      </c>
      <c r="M6" s="231">
        <v>22736.239409265527</v>
      </c>
      <c r="N6" s="231">
        <v>11165</v>
      </c>
      <c r="O6" s="231">
        <v>14533.470000000001</v>
      </c>
      <c r="P6" s="231">
        <v>19377.96</v>
      </c>
      <c r="Q6" s="231">
        <v>27646</v>
      </c>
      <c r="R6" s="241"/>
      <c r="S6" s="240"/>
      <c r="T6" s="231">
        <v>17142</v>
      </c>
      <c r="U6" s="231">
        <v>14354.854915143451</v>
      </c>
      <c r="V6" s="231">
        <v>16555</v>
      </c>
      <c r="W6" s="231">
        <v>56863</v>
      </c>
      <c r="X6" s="231">
        <v>97641</v>
      </c>
      <c r="Y6" s="231">
        <v>62559.5</v>
      </c>
      <c r="Z6" s="231">
        <v>147877</v>
      </c>
      <c r="AA6" s="231">
        <v>87126</v>
      </c>
      <c r="AB6" s="231">
        <v>60862.230286747043</v>
      </c>
      <c r="AC6" s="235">
        <v>58832.846900935794</v>
      </c>
      <c r="AD6" s="235">
        <v>57067</v>
      </c>
      <c r="AE6" s="231">
        <v>161424</v>
      </c>
      <c r="AF6" s="235">
        <v>17935.185838306927</v>
      </c>
      <c r="AG6" s="231">
        <v>87242</v>
      </c>
      <c r="AH6" s="231">
        <v>18148.220025091057</v>
      </c>
      <c r="AI6" s="231">
        <v>34793.464341657804</v>
      </c>
      <c r="AK6" s="231">
        <v>12891.5</v>
      </c>
    </row>
    <row r="7" spans="1:37" ht="45" customHeight="1" x14ac:dyDescent="0.25">
      <c r="A7" s="238" t="s">
        <v>1189</v>
      </c>
      <c r="B7" s="229">
        <v>1044</v>
      </c>
      <c r="C7" s="229">
        <v>702</v>
      </c>
      <c r="D7" s="229">
        <v>1093.5</v>
      </c>
      <c r="E7" s="229">
        <v>181</v>
      </c>
      <c r="F7" s="229">
        <v>187</v>
      </c>
      <c r="G7" s="229">
        <v>444</v>
      </c>
      <c r="H7" s="229">
        <v>476</v>
      </c>
      <c r="I7" s="229">
        <v>536</v>
      </c>
      <c r="J7" s="229">
        <v>394.9986147186147</v>
      </c>
      <c r="K7" s="229">
        <v>8.9118037860913386</v>
      </c>
      <c r="L7" s="237">
        <v>1780</v>
      </c>
      <c r="M7" s="229">
        <v>204.97148708010081</v>
      </c>
      <c r="N7" s="229">
        <v>697</v>
      </c>
      <c r="O7" s="229">
        <v>697</v>
      </c>
      <c r="P7" s="229">
        <v>240</v>
      </c>
      <c r="Q7" s="229">
        <v>697</v>
      </c>
      <c r="R7" s="239"/>
      <c r="S7" s="236"/>
      <c r="T7" s="229">
        <v>684</v>
      </c>
      <c r="U7" s="231">
        <v>302</v>
      </c>
      <c r="V7" s="229">
        <v>320</v>
      </c>
      <c r="W7" s="229">
        <v>354</v>
      </c>
      <c r="X7" s="229">
        <v>1154</v>
      </c>
      <c r="Y7" s="229">
        <v>1185</v>
      </c>
      <c r="Z7" s="229">
        <v>1216</v>
      </c>
      <c r="AA7" s="229">
        <v>1062</v>
      </c>
      <c r="AB7" s="229">
        <v>1108</v>
      </c>
      <c r="AC7" s="235">
        <v>1139</v>
      </c>
      <c r="AD7" s="235">
        <v>1868</v>
      </c>
      <c r="AE7" s="229">
        <v>7303</v>
      </c>
      <c r="AF7" s="235">
        <v>2678</v>
      </c>
      <c r="AG7" s="229">
        <v>2191</v>
      </c>
      <c r="AH7" s="229">
        <v>174.7827517547164</v>
      </c>
      <c r="AI7" s="229">
        <v>396.90946112304306</v>
      </c>
      <c r="AJ7" s="224"/>
      <c r="AK7" s="229">
        <v>89.22</v>
      </c>
    </row>
    <row r="8" spans="1:37" ht="45" customHeight="1" x14ac:dyDescent="0.25">
      <c r="A8" s="238" t="s">
        <v>1188</v>
      </c>
      <c r="B8" s="229">
        <v>90.3</v>
      </c>
      <c r="C8" s="229">
        <v>195.4</v>
      </c>
      <c r="D8" s="229">
        <v>41.75</v>
      </c>
      <c r="E8" s="229">
        <v>2.7</v>
      </c>
      <c r="F8" s="229">
        <v>24.7</v>
      </c>
      <c r="G8" s="229">
        <v>38.4</v>
      </c>
      <c r="H8" s="229">
        <v>79</v>
      </c>
      <c r="I8" s="229">
        <v>135.9</v>
      </c>
      <c r="J8" s="229">
        <v>65.42164556277055</v>
      </c>
      <c r="K8" s="229">
        <v>1467.1056982852867</v>
      </c>
      <c r="L8" s="237">
        <v>166.6</v>
      </c>
      <c r="M8" s="229">
        <v>0</v>
      </c>
      <c r="N8" s="229">
        <v>3.6</v>
      </c>
      <c r="O8" s="229">
        <v>3.6</v>
      </c>
      <c r="P8" s="229">
        <v>2.7</v>
      </c>
      <c r="Q8" s="229">
        <v>3.6</v>
      </c>
      <c r="R8" s="224"/>
      <c r="S8" s="236"/>
      <c r="T8" s="229">
        <v>0</v>
      </c>
      <c r="U8" s="231">
        <v>0</v>
      </c>
      <c r="V8" s="229">
        <v>0</v>
      </c>
      <c r="W8" s="229">
        <v>0</v>
      </c>
      <c r="X8" s="229">
        <v>1</v>
      </c>
      <c r="Y8" s="229">
        <v>0.9</v>
      </c>
      <c r="Z8" s="229">
        <v>0.9</v>
      </c>
      <c r="AA8" s="229">
        <v>1</v>
      </c>
      <c r="AB8" s="229">
        <v>1</v>
      </c>
      <c r="AC8" s="235">
        <v>1</v>
      </c>
      <c r="AD8" s="235">
        <v>74.7</v>
      </c>
      <c r="AE8" s="229">
        <v>128.9</v>
      </c>
      <c r="AF8" s="235">
        <v>69.7</v>
      </c>
      <c r="AG8" s="229">
        <v>57</v>
      </c>
      <c r="AH8" s="229">
        <v>9.0232013334174805</v>
      </c>
      <c r="AI8" s="229">
        <v>27.403796642230866</v>
      </c>
      <c r="AJ8" s="224"/>
      <c r="AK8" s="229">
        <v>0</v>
      </c>
    </row>
    <row r="9" spans="1:37" ht="45" customHeight="1" x14ac:dyDescent="0.25">
      <c r="A9" s="234" t="s">
        <v>1187</v>
      </c>
      <c r="B9" s="229">
        <v>31.1</v>
      </c>
      <c r="C9" s="229">
        <v>15.5</v>
      </c>
      <c r="D9" s="229">
        <v>9.1</v>
      </c>
      <c r="E9" s="229">
        <v>135.69999999999999</v>
      </c>
      <c r="F9" s="229">
        <v>135.69999999999999</v>
      </c>
      <c r="G9" s="229">
        <v>135.69999999999999</v>
      </c>
      <c r="H9" s="229">
        <v>135.69999999999999</v>
      </c>
      <c r="I9" s="229">
        <v>135.69999999999999</v>
      </c>
      <c r="J9" s="229">
        <v>135.69999999999999</v>
      </c>
      <c r="K9" s="229">
        <v>0</v>
      </c>
      <c r="M9" s="229">
        <v>0</v>
      </c>
      <c r="N9" s="229">
        <v>0</v>
      </c>
      <c r="O9" s="229">
        <v>0</v>
      </c>
      <c r="P9" s="229">
        <v>0</v>
      </c>
      <c r="Q9" s="229">
        <v>135.69999999999999</v>
      </c>
      <c r="S9" s="233"/>
      <c r="T9" s="229">
        <v>0</v>
      </c>
      <c r="U9" s="231">
        <v>0</v>
      </c>
      <c r="V9" s="232">
        <v>0</v>
      </c>
      <c r="W9" s="229">
        <v>0</v>
      </c>
      <c r="X9" s="229">
        <v>0</v>
      </c>
      <c r="Y9" s="229">
        <v>0</v>
      </c>
      <c r="Z9" s="229">
        <v>0</v>
      </c>
      <c r="AA9" s="229">
        <v>0</v>
      </c>
      <c r="AB9" s="229">
        <v>0</v>
      </c>
      <c r="AC9" s="229">
        <v>0</v>
      </c>
      <c r="AD9" s="230">
        <v>36</v>
      </c>
      <c r="AE9" s="230">
        <v>0</v>
      </c>
      <c r="AF9" s="231">
        <v>0</v>
      </c>
      <c r="AG9" s="231">
        <v>0</v>
      </c>
      <c r="AH9" s="231">
        <v>82.55</v>
      </c>
      <c r="AI9" s="230">
        <v>82.55</v>
      </c>
      <c r="AK9" s="229">
        <v>0</v>
      </c>
    </row>
    <row r="10" spans="1:37" x14ac:dyDescent="0.25">
      <c r="A10" s="353" t="s">
        <v>1903</v>
      </c>
      <c r="B10" s="227">
        <v>9812</v>
      </c>
      <c r="F10" s="223">
        <v>7395</v>
      </c>
      <c r="G10" s="223">
        <v>8900</v>
      </c>
      <c r="L10" s="223">
        <v>14106</v>
      </c>
      <c r="AC10" s="351">
        <f>AC7/AC6</f>
        <v>1.9359933438507174E-2</v>
      </c>
    </row>
    <row r="11" spans="1:37" x14ac:dyDescent="0.25">
      <c r="A11" s="228" t="s">
        <v>2488</v>
      </c>
      <c r="B11" s="501" t="s">
        <v>2490</v>
      </c>
      <c r="C11" s="44">
        <v>1.256</v>
      </c>
    </row>
    <row r="12" spans="1:37" x14ac:dyDescent="0.25">
      <c r="A12" s="224" t="str">
        <f>A6</f>
        <v>Total Overnight Cost, ZAR/kW (Jan 2017 Rands)</v>
      </c>
      <c r="B12" s="227">
        <f t="shared" ref="B12:Q12" si="0">B6*$C$11</f>
        <v>50278.936000000002</v>
      </c>
      <c r="C12" s="227">
        <f t="shared" si="0"/>
        <v>60688.663999999997</v>
      </c>
      <c r="D12" s="227">
        <f t="shared" si="0"/>
        <v>87623.646800000002</v>
      </c>
      <c r="E12" s="227">
        <f t="shared" si="0"/>
        <v>11587.856</v>
      </c>
      <c r="F12" s="227">
        <f t="shared" si="0"/>
        <v>12724.536</v>
      </c>
      <c r="G12" s="227">
        <f t="shared" si="0"/>
        <v>27961.072</v>
      </c>
      <c r="H12" s="227">
        <f t="shared" si="0"/>
        <v>18078.864000000001</v>
      </c>
      <c r="I12" s="227">
        <f t="shared" si="0"/>
        <v>19376.312000000002</v>
      </c>
      <c r="J12" s="227">
        <f t="shared" si="0"/>
        <v>11640.174677281382</v>
      </c>
      <c r="K12" s="227">
        <f t="shared" si="0"/>
        <v>0</v>
      </c>
      <c r="L12" s="227">
        <f t="shared" si="0"/>
        <v>97257.104000000007</v>
      </c>
      <c r="M12" s="227">
        <f t="shared" si="0"/>
        <v>28556.7166980375</v>
      </c>
      <c r="N12" s="227">
        <f t="shared" si="0"/>
        <v>14023.24</v>
      </c>
      <c r="O12" s="227">
        <f t="shared" si="0"/>
        <v>18254.038320000003</v>
      </c>
      <c r="P12" s="227">
        <f t="shared" si="0"/>
        <v>24338.71776</v>
      </c>
      <c r="Q12" s="227">
        <f t="shared" si="0"/>
        <v>34723.375999999997</v>
      </c>
      <c r="R12" s="227"/>
      <c r="S12" s="227"/>
      <c r="T12" s="227">
        <f t="shared" ref="T12:AK12" si="1">T6*$C$11</f>
        <v>21530.351999999999</v>
      </c>
      <c r="U12" s="227">
        <f t="shared" si="1"/>
        <v>18029.697773420176</v>
      </c>
      <c r="V12" s="227">
        <f t="shared" si="1"/>
        <v>20793.080000000002</v>
      </c>
      <c r="W12" s="227">
        <f t="shared" si="1"/>
        <v>71419.928</v>
      </c>
      <c r="X12" s="227">
        <f t="shared" si="1"/>
        <v>122637.09600000001</v>
      </c>
      <c r="Y12" s="227">
        <f t="shared" si="1"/>
        <v>78574.732000000004</v>
      </c>
      <c r="Z12" s="227">
        <f t="shared" si="1"/>
        <v>185733.51199999999</v>
      </c>
      <c r="AA12" s="227">
        <f t="shared" si="1"/>
        <v>109430.25599999999</v>
      </c>
      <c r="AB12" s="227">
        <f t="shared" si="1"/>
        <v>76442.961240154284</v>
      </c>
      <c r="AC12" s="227">
        <f t="shared" si="1"/>
        <v>73894.05570757536</v>
      </c>
      <c r="AD12" s="227">
        <f t="shared" si="1"/>
        <v>71676.152000000002</v>
      </c>
      <c r="AE12" s="227">
        <f t="shared" si="1"/>
        <v>202748.54399999999</v>
      </c>
      <c r="AF12" s="227">
        <f t="shared" si="1"/>
        <v>22526.593412913498</v>
      </c>
      <c r="AG12" s="227">
        <f t="shared" si="1"/>
        <v>109575.952</v>
      </c>
      <c r="AH12" s="227">
        <f t="shared" si="1"/>
        <v>22794.16435151437</v>
      </c>
      <c r="AI12" s="227">
        <f t="shared" si="1"/>
        <v>43700.591213122199</v>
      </c>
      <c r="AJ12" s="227">
        <f t="shared" si="1"/>
        <v>0</v>
      </c>
      <c r="AK12" s="227">
        <f t="shared" si="1"/>
        <v>16191.724</v>
      </c>
    </row>
    <row r="13" spans="1:37" x14ac:dyDescent="0.25">
      <c r="A13" s="224" t="str">
        <f>A7</f>
        <v>Fixed O&amp;M Cost (R/KW/Year)</v>
      </c>
      <c r="B13" s="227">
        <f t="shared" ref="B13:Q13" si="2">B7*$C$11</f>
        <v>1311.2639999999999</v>
      </c>
      <c r="C13" s="227">
        <f t="shared" si="2"/>
        <v>881.71199999999999</v>
      </c>
      <c r="D13" s="227">
        <f t="shared" si="2"/>
        <v>1373.4359999999999</v>
      </c>
      <c r="E13" s="227">
        <f t="shared" si="2"/>
        <v>227.33600000000001</v>
      </c>
      <c r="F13" s="227">
        <f t="shared" si="2"/>
        <v>234.87200000000001</v>
      </c>
      <c r="G13" s="227">
        <f t="shared" si="2"/>
        <v>557.66399999999999</v>
      </c>
      <c r="H13" s="227">
        <f t="shared" si="2"/>
        <v>597.85599999999999</v>
      </c>
      <c r="I13" s="227">
        <f t="shared" si="2"/>
        <v>673.21600000000001</v>
      </c>
      <c r="J13" s="227">
        <f t="shared" si="2"/>
        <v>496.11826008658005</v>
      </c>
      <c r="K13" s="227">
        <f t="shared" si="2"/>
        <v>11.193225555330722</v>
      </c>
      <c r="L13" s="227">
        <f t="shared" si="2"/>
        <v>2235.6799999999998</v>
      </c>
      <c r="M13" s="227">
        <f t="shared" si="2"/>
        <v>257.4441877726066</v>
      </c>
      <c r="N13" s="227">
        <f t="shared" si="2"/>
        <v>875.43200000000002</v>
      </c>
      <c r="O13" s="227">
        <f t="shared" si="2"/>
        <v>875.43200000000002</v>
      </c>
      <c r="P13" s="227">
        <f t="shared" si="2"/>
        <v>301.44</v>
      </c>
      <c r="Q13" s="227">
        <f t="shared" si="2"/>
        <v>875.43200000000002</v>
      </c>
      <c r="R13" s="227"/>
      <c r="S13" s="227"/>
      <c r="T13" s="227">
        <f t="shared" ref="T13:AK13" si="3">T7*$C$11</f>
        <v>859.10400000000004</v>
      </c>
      <c r="U13" s="227">
        <f t="shared" si="3"/>
        <v>379.31200000000001</v>
      </c>
      <c r="V13" s="227">
        <f t="shared" si="3"/>
        <v>401.92</v>
      </c>
      <c r="W13" s="227">
        <f t="shared" si="3"/>
        <v>444.62400000000002</v>
      </c>
      <c r="X13" s="227">
        <f t="shared" si="3"/>
        <v>1449.424</v>
      </c>
      <c r="Y13" s="227">
        <f t="shared" si="3"/>
        <v>1488.36</v>
      </c>
      <c r="Z13" s="227">
        <f t="shared" si="3"/>
        <v>1527.296</v>
      </c>
      <c r="AA13" s="227">
        <f t="shared" si="3"/>
        <v>1333.8720000000001</v>
      </c>
      <c r="AB13" s="227">
        <f t="shared" si="3"/>
        <v>1391.6479999999999</v>
      </c>
      <c r="AC13" s="227">
        <f t="shared" si="3"/>
        <v>1430.5840000000001</v>
      </c>
      <c r="AD13" s="227">
        <f t="shared" si="3"/>
        <v>2346.2080000000001</v>
      </c>
      <c r="AE13" s="227">
        <f t="shared" si="3"/>
        <v>9172.5679999999993</v>
      </c>
      <c r="AF13" s="227">
        <f t="shared" si="3"/>
        <v>3363.5680000000002</v>
      </c>
      <c r="AG13" s="227">
        <f t="shared" si="3"/>
        <v>2751.8960000000002</v>
      </c>
      <c r="AH13" s="227">
        <f t="shared" si="3"/>
        <v>219.52713620392379</v>
      </c>
      <c r="AI13" s="227">
        <f t="shared" si="3"/>
        <v>498.51828317054208</v>
      </c>
      <c r="AJ13" s="227">
        <f t="shared" si="3"/>
        <v>0</v>
      </c>
      <c r="AK13" s="227">
        <f t="shared" si="3"/>
        <v>112.06032</v>
      </c>
    </row>
    <row r="14" spans="1:37" x14ac:dyDescent="0.25">
      <c r="A14" s="224" t="str">
        <f>A8</f>
        <v>Variable O&amp;M Cost (R/MWh)</v>
      </c>
      <c r="B14" s="227">
        <f t="shared" ref="B14:Q14" si="4">B8*$C$11</f>
        <v>113.41679999999999</v>
      </c>
      <c r="C14" s="227">
        <f t="shared" si="4"/>
        <v>245.42240000000001</v>
      </c>
      <c r="D14" s="227">
        <f t="shared" si="4"/>
        <v>52.438000000000002</v>
      </c>
      <c r="E14" s="227">
        <f t="shared" si="4"/>
        <v>3.3912000000000004</v>
      </c>
      <c r="F14" s="227">
        <f t="shared" si="4"/>
        <v>31.023199999999999</v>
      </c>
      <c r="G14" s="227">
        <f t="shared" si="4"/>
        <v>48.230399999999996</v>
      </c>
      <c r="H14" s="227">
        <f t="shared" si="4"/>
        <v>99.224000000000004</v>
      </c>
      <c r="I14" s="227">
        <f t="shared" si="4"/>
        <v>170.69040000000001</v>
      </c>
      <c r="J14" s="227">
        <f t="shared" si="4"/>
        <v>82.169586826839804</v>
      </c>
      <c r="K14" s="227">
        <f t="shared" si="4"/>
        <v>1842.6847570463201</v>
      </c>
      <c r="L14" s="227">
        <f t="shared" si="4"/>
        <v>209.24959999999999</v>
      </c>
      <c r="M14" s="227">
        <f t="shared" si="4"/>
        <v>0</v>
      </c>
      <c r="N14" s="227">
        <f t="shared" si="4"/>
        <v>4.5216000000000003</v>
      </c>
      <c r="O14" s="227">
        <f t="shared" si="4"/>
        <v>4.5216000000000003</v>
      </c>
      <c r="P14" s="227">
        <f t="shared" si="4"/>
        <v>3.3912000000000004</v>
      </c>
      <c r="Q14" s="227">
        <f t="shared" si="4"/>
        <v>4.5216000000000003</v>
      </c>
      <c r="R14" s="227"/>
      <c r="S14" s="227"/>
      <c r="T14" s="227">
        <f t="shared" ref="T14:AK14" si="5">T8*$C$11</f>
        <v>0</v>
      </c>
      <c r="U14" s="227">
        <f t="shared" si="5"/>
        <v>0</v>
      </c>
      <c r="V14" s="227">
        <f t="shared" si="5"/>
        <v>0</v>
      </c>
      <c r="W14" s="227">
        <f t="shared" si="5"/>
        <v>0</v>
      </c>
      <c r="X14" s="227">
        <f t="shared" si="5"/>
        <v>1.256</v>
      </c>
      <c r="Y14" s="227">
        <f t="shared" si="5"/>
        <v>1.1304000000000001</v>
      </c>
      <c r="Z14" s="227">
        <f t="shared" si="5"/>
        <v>1.1304000000000001</v>
      </c>
      <c r="AA14" s="227">
        <f t="shared" si="5"/>
        <v>1.256</v>
      </c>
      <c r="AB14" s="227">
        <f t="shared" si="5"/>
        <v>1.256</v>
      </c>
      <c r="AC14" s="227">
        <f t="shared" si="5"/>
        <v>1.256</v>
      </c>
      <c r="AD14" s="227">
        <f t="shared" si="5"/>
        <v>93.8232</v>
      </c>
      <c r="AE14" s="227">
        <f t="shared" si="5"/>
        <v>161.89840000000001</v>
      </c>
      <c r="AF14" s="227">
        <f t="shared" si="5"/>
        <v>87.543199999999999</v>
      </c>
      <c r="AG14" s="227">
        <f t="shared" si="5"/>
        <v>71.591999999999999</v>
      </c>
      <c r="AH14" s="227">
        <f t="shared" si="5"/>
        <v>11.333140874772356</v>
      </c>
      <c r="AI14" s="227">
        <f t="shared" si="5"/>
        <v>34.419168582641966</v>
      </c>
      <c r="AJ14" s="227">
        <f t="shared" si="5"/>
        <v>0</v>
      </c>
      <c r="AK14" s="227">
        <f t="shared" si="5"/>
        <v>0</v>
      </c>
    </row>
    <row r="15" spans="1:37" x14ac:dyDescent="0.25">
      <c r="A15" s="224" t="str">
        <f>A9</f>
        <v>Fuel Cost (R/GJ)</v>
      </c>
      <c r="B15" s="227">
        <f t="shared" ref="B15:Q15" si="6">B9*$C$11</f>
        <v>39.061599999999999</v>
      </c>
      <c r="C15" s="227">
        <f t="shared" si="6"/>
        <v>19.468</v>
      </c>
      <c r="D15" s="227">
        <f t="shared" si="6"/>
        <v>11.429599999999999</v>
      </c>
      <c r="E15" s="227">
        <f t="shared" si="6"/>
        <v>170.4392</v>
      </c>
      <c r="F15" s="227">
        <f t="shared" si="6"/>
        <v>170.4392</v>
      </c>
      <c r="G15" s="227">
        <f t="shared" si="6"/>
        <v>170.4392</v>
      </c>
      <c r="H15" s="227">
        <f t="shared" si="6"/>
        <v>170.4392</v>
      </c>
      <c r="I15" s="227">
        <f t="shared" si="6"/>
        <v>170.4392</v>
      </c>
      <c r="J15" s="227">
        <f t="shared" si="6"/>
        <v>170.4392</v>
      </c>
      <c r="K15" s="227">
        <f t="shared" si="6"/>
        <v>0</v>
      </c>
      <c r="L15" s="227">
        <f t="shared" si="6"/>
        <v>0</v>
      </c>
      <c r="M15" s="227">
        <f t="shared" si="6"/>
        <v>0</v>
      </c>
      <c r="N15" s="227">
        <f t="shared" si="6"/>
        <v>0</v>
      </c>
      <c r="O15" s="227">
        <f t="shared" si="6"/>
        <v>0</v>
      </c>
      <c r="P15" s="227">
        <f t="shared" si="6"/>
        <v>0</v>
      </c>
      <c r="Q15" s="227">
        <f t="shared" si="6"/>
        <v>170.4392</v>
      </c>
      <c r="R15" s="227"/>
      <c r="S15" s="227"/>
      <c r="T15" s="227">
        <f t="shared" ref="T15:AK15" si="7">T9*$C$11</f>
        <v>0</v>
      </c>
      <c r="U15" s="227">
        <f t="shared" si="7"/>
        <v>0</v>
      </c>
      <c r="V15" s="227">
        <f t="shared" si="7"/>
        <v>0</v>
      </c>
      <c r="W15" s="227">
        <f t="shared" si="7"/>
        <v>0</v>
      </c>
      <c r="X15" s="227">
        <f t="shared" si="7"/>
        <v>0</v>
      </c>
      <c r="Y15" s="227">
        <f t="shared" si="7"/>
        <v>0</v>
      </c>
      <c r="Z15" s="227">
        <f t="shared" si="7"/>
        <v>0</v>
      </c>
      <c r="AA15" s="227">
        <f t="shared" si="7"/>
        <v>0</v>
      </c>
      <c r="AB15" s="227">
        <f t="shared" si="7"/>
        <v>0</v>
      </c>
      <c r="AC15" s="227">
        <f t="shared" si="7"/>
        <v>0</v>
      </c>
      <c r="AD15" s="227">
        <f t="shared" si="7"/>
        <v>45.216000000000001</v>
      </c>
      <c r="AE15" s="227">
        <f t="shared" si="7"/>
        <v>0</v>
      </c>
      <c r="AF15" s="227">
        <f t="shared" si="7"/>
        <v>0</v>
      </c>
      <c r="AG15" s="227">
        <f t="shared" si="7"/>
        <v>0</v>
      </c>
      <c r="AH15" s="227">
        <f t="shared" si="7"/>
        <v>103.6828</v>
      </c>
      <c r="AI15" s="227">
        <f t="shared" si="7"/>
        <v>103.6828</v>
      </c>
      <c r="AJ15" s="227">
        <f t="shared" si="7"/>
        <v>0</v>
      </c>
      <c r="AK15" s="227">
        <f t="shared" si="7"/>
        <v>0</v>
      </c>
    </row>
    <row r="16" spans="1:37" x14ac:dyDescent="0.25">
      <c r="A16" s="224" t="s">
        <v>1185</v>
      </c>
      <c r="B16" s="226">
        <v>0.1</v>
      </c>
      <c r="C16" s="226">
        <v>0.1</v>
      </c>
      <c r="D16" s="226">
        <v>0.1</v>
      </c>
      <c r="E16" s="226">
        <v>0.1</v>
      </c>
      <c r="F16" s="226">
        <v>0.1</v>
      </c>
      <c r="G16" s="226">
        <v>0.1</v>
      </c>
      <c r="H16" s="226">
        <v>0.1</v>
      </c>
      <c r="I16" s="226">
        <v>0.1</v>
      </c>
      <c r="J16" s="226">
        <v>0.1</v>
      </c>
      <c r="K16" s="226">
        <v>0.1</v>
      </c>
      <c r="L16" s="226">
        <v>0.1</v>
      </c>
      <c r="M16" s="226">
        <v>0.1</v>
      </c>
      <c r="N16" s="226">
        <v>0.1</v>
      </c>
      <c r="O16" s="226">
        <v>0.1</v>
      </c>
      <c r="P16" s="226">
        <v>0.1</v>
      </c>
      <c r="Q16" s="226">
        <v>0.1</v>
      </c>
      <c r="R16" s="226"/>
      <c r="S16" s="226"/>
      <c r="T16" s="226">
        <v>0</v>
      </c>
      <c r="U16" s="226">
        <v>0</v>
      </c>
      <c r="V16" s="226">
        <v>0</v>
      </c>
      <c r="W16" s="226">
        <v>0</v>
      </c>
      <c r="X16" s="226">
        <v>0</v>
      </c>
      <c r="Y16" s="226">
        <v>0</v>
      </c>
      <c r="Z16" s="226">
        <v>0</v>
      </c>
      <c r="AA16" s="226">
        <v>0</v>
      </c>
      <c r="AB16" s="226">
        <v>0</v>
      </c>
      <c r="AC16" s="226">
        <v>0</v>
      </c>
      <c r="AD16" s="226">
        <v>0</v>
      </c>
      <c r="AE16" s="226">
        <v>0</v>
      </c>
      <c r="AF16" s="226">
        <v>0</v>
      </c>
      <c r="AG16" s="226">
        <v>0</v>
      </c>
      <c r="AH16" s="226">
        <v>0</v>
      </c>
      <c r="AI16" s="226">
        <v>0</v>
      </c>
      <c r="AJ16" s="226">
        <v>0</v>
      </c>
      <c r="AK16" s="226">
        <v>0</v>
      </c>
    </row>
    <row r="17" spans="1:37" x14ac:dyDescent="0.25">
      <c r="A17" s="224" t="s">
        <v>1184</v>
      </c>
      <c r="B17" s="225">
        <f t="shared" ref="B17:Q17" si="8">B12*(1+B16)</f>
        <v>55306.829600000005</v>
      </c>
      <c r="C17" s="225">
        <f t="shared" si="8"/>
        <v>66757.530400000003</v>
      </c>
      <c r="D17" s="225">
        <f t="shared" si="8"/>
        <v>96386.011480000016</v>
      </c>
      <c r="E17" s="225">
        <f t="shared" si="8"/>
        <v>12746.641600000001</v>
      </c>
      <c r="F17" s="225">
        <f t="shared" si="8"/>
        <v>13996.989600000001</v>
      </c>
      <c r="G17" s="225">
        <f t="shared" si="8"/>
        <v>30757.179200000002</v>
      </c>
      <c r="H17" s="225">
        <f t="shared" si="8"/>
        <v>19886.750400000004</v>
      </c>
      <c r="I17" s="225">
        <f t="shared" si="8"/>
        <v>21313.943200000005</v>
      </c>
      <c r="J17" s="225">
        <f t="shared" si="8"/>
        <v>12804.192145009521</v>
      </c>
      <c r="K17" s="225">
        <f t="shared" si="8"/>
        <v>0</v>
      </c>
      <c r="L17" s="225">
        <f t="shared" si="8"/>
        <v>106982.81440000002</v>
      </c>
      <c r="M17" s="225">
        <f t="shared" si="8"/>
        <v>31412.388367841253</v>
      </c>
      <c r="N17" s="225">
        <f t="shared" si="8"/>
        <v>15425.564</v>
      </c>
      <c r="O17" s="225">
        <f t="shared" si="8"/>
        <v>20079.442152000007</v>
      </c>
      <c r="P17" s="225">
        <f t="shared" si="8"/>
        <v>26772.589536000003</v>
      </c>
      <c r="Q17" s="225">
        <f t="shared" si="8"/>
        <v>38195.713600000003</v>
      </c>
      <c r="R17" s="225"/>
      <c r="S17" s="225"/>
      <c r="T17" s="225">
        <f t="shared" ref="T17:AK17" si="9">T12*(1+T16)</f>
        <v>21530.351999999999</v>
      </c>
      <c r="U17" s="225">
        <f t="shared" si="9"/>
        <v>18029.697773420176</v>
      </c>
      <c r="V17" s="225">
        <f t="shared" si="9"/>
        <v>20793.080000000002</v>
      </c>
      <c r="W17" s="225">
        <f t="shared" si="9"/>
        <v>71419.928</v>
      </c>
      <c r="X17" s="225">
        <f t="shared" si="9"/>
        <v>122637.09600000001</v>
      </c>
      <c r="Y17" s="225">
        <f t="shared" si="9"/>
        <v>78574.732000000004</v>
      </c>
      <c r="Z17" s="225">
        <f t="shared" si="9"/>
        <v>185733.51199999999</v>
      </c>
      <c r="AA17" s="225">
        <f t="shared" si="9"/>
        <v>109430.25599999999</v>
      </c>
      <c r="AB17" s="225">
        <f t="shared" si="9"/>
        <v>76442.961240154284</v>
      </c>
      <c r="AC17" s="225">
        <f t="shared" si="9"/>
        <v>73894.05570757536</v>
      </c>
      <c r="AD17" s="225">
        <f t="shared" si="9"/>
        <v>71676.152000000002</v>
      </c>
      <c r="AE17" s="225">
        <f t="shared" si="9"/>
        <v>202748.54399999999</v>
      </c>
      <c r="AF17" s="225">
        <f t="shared" si="9"/>
        <v>22526.593412913498</v>
      </c>
      <c r="AG17" s="225">
        <f t="shared" si="9"/>
        <v>109575.952</v>
      </c>
      <c r="AH17" s="225">
        <f t="shared" si="9"/>
        <v>22794.16435151437</v>
      </c>
      <c r="AI17" s="225">
        <f t="shared" si="9"/>
        <v>43700.591213122199</v>
      </c>
      <c r="AJ17" s="225">
        <f t="shared" si="9"/>
        <v>0</v>
      </c>
      <c r="AK17" s="225">
        <f t="shared" si="9"/>
        <v>16191.724</v>
      </c>
    </row>
    <row r="18" spans="1:37" x14ac:dyDescent="0.25">
      <c r="A18" s="354" t="s">
        <v>154</v>
      </c>
      <c r="B18" s="351">
        <f>(1/(B10/3600))</f>
        <v>0.36689767631471665</v>
      </c>
      <c r="F18" s="351">
        <f>(1/(F10/3600))</f>
        <v>0.48681541582150101</v>
      </c>
      <c r="G18" s="351">
        <f>(1/(G10/3600))</f>
        <v>0.4044943820224719</v>
      </c>
      <c r="L18" s="351">
        <f>(1/(L10/3600))</f>
        <v>0.25521054870267973</v>
      </c>
      <c r="T18" s="223">
        <f>T13/T12</f>
        <v>3.9901995099754992E-2</v>
      </c>
    </row>
    <row r="19" spans="1:37" x14ac:dyDescent="0.25">
      <c r="A19" s="224"/>
    </row>
    <row r="20" spans="1:37" x14ac:dyDescent="0.25">
      <c r="A20" s="355" t="s">
        <v>1909</v>
      </c>
      <c r="AC20" s="227">
        <v>1000</v>
      </c>
    </row>
    <row r="21" spans="1:37" x14ac:dyDescent="0.25">
      <c r="A21" s="355" t="s">
        <v>1910</v>
      </c>
      <c r="B21" s="223">
        <v>947</v>
      </c>
      <c r="L21" s="223">
        <v>136.19999999999999</v>
      </c>
      <c r="AA21" s="350" t="s">
        <v>1886</v>
      </c>
      <c r="AB21" s="350" t="s">
        <v>1186</v>
      </c>
      <c r="AC21" s="227">
        <f>AC6*0.82</f>
        <v>48242.934458767348</v>
      </c>
    </row>
    <row r="22" spans="1:37" x14ac:dyDescent="0.25">
      <c r="A22" s="356" t="s">
        <v>1911</v>
      </c>
      <c r="B22" s="223">
        <f>B21*B$18/3.6</f>
        <v>96.51447207501019</v>
      </c>
      <c r="L22" s="223">
        <f>L21*L$18/3.6</f>
        <v>9.6554657592513831</v>
      </c>
      <c r="M22" s="223">
        <f>L22/B22</f>
        <v>0.10004163677906502</v>
      </c>
    </row>
    <row r="23" spans="1:37" x14ac:dyDescent="0.25">
      <c r="A23" s="356" t="s">
        <v>1912</v>
      </c>
      <c r="B23" s="223">
        <v>0.46</v>
      </c>
      <c r="L23" s="223">
        <v>0.66</v>
      </c>
      <c r="AA23" s="350" t="s">
        <v>1881</v>
      </c>
    </row>
    <row r="24" spans="1:37" x14ac:dyDescent="0.25">
      <c r="B24" s="223">
        <f>B23*B$18/3.6</f>
        <v>4.6881369751324904E-2</v>
      </c>
      <c r="L24" s="223">
        <f>L23*L$18/3.6</f>
        <v>4.6788600595491288E-2</v>
      </c>
      <c r="M24" s="223">
        <f>L24/B24</f>
        <v>0.99802119357165342</v>
      </c>
      <c r="AA24" s="350" t="s">
        <v>717</v>
      </c>
      <c r="AB24" s="350" t="s">
        <v>121</v>
      </c>
      <c r="AC24" s="223">
        <v>100</v>
      </c>
    </row>
    <row r="25" spans="1:37" x14ac:dyDescent="0.25">
      <c r="A25" s="356" t="s">
        <v>1913</v>
      </c>
      <c r="B25" s="223">
        <v>1.94</v>
      </c>
      <c r="L25" s="223">
        <v>0.42</v>
      </c>
      <c r="AA25" s="350" t="s">
        <v>1882</v>
      </c>
      <c r="AB25" s="350" t="s">
        <v>1884</v>
      </c>
      <c r="AC25" s="223">
        <v>789</v>
      </c>
      <c r="AD25" s="223" t="s">
        <v>1887</v>
      </c>
    </row>
    <row r="26" spans="1:37" x14ac:dyDescent="0.25">
      <c r="B26" s="223">
        <f>B25*B$18/3.6</f>
        <v>0.19771708112515285</v>
      </c>
      <c r="L26" s="223">
        <f>L25*L$18/3.6</f>
        <v>2.9774564015312633E-2</v>
      </c>
      <c r="M26" s="223">
        <f>L26/B26</f>
        <v>0.15059176397847815</v>
      </c>
      <c r="AA26" s="350" t="s">
        <v>1889</v>
      </c>
      <c r="AB26" s="350" t="s">
        <v>1888</v>
      </c>
      <c r="AC26" s="223">
        <v>11.914999999999999</v>
      </c>
      <c r="AD26" s="350" t="s">
        <v>1890</v>
      </c>
    </row>
    <row r="27" spans="1:37" x14ac:dyDescent="0.25">
      <c r="A27" s="356" t="s">
        <v>1914</v>
      </c>
      <c r="B27" s="223">
        <v>0.13</v>
      </c>
      <c r="L27" s="223">
        <v>0.18</v>
      </c>
      <c r="AA27" s="350" t="s">
        <v>1882</v>
      </c>
      <c r="AB27" s="350" t="s">
        <v>1885</v>
      </c>
      <c r="AC27" s="223">
        <f>AC25*AC26</f>
        <v>9400.9349999999995</v>
      </c>
    </row>
    <row r="28" spans="1:37" x14ac:dyDescent="0.25">
      <c r="B28" s="223">
        <f>B27*B$18/3.6</f>
        <v>1.3249082755809213E-2</v>
      </c>
      <c r="L28" s="223">
        <f>L27*L$18/3.6</f>
        <v>1.2760527435133985E-2</v>
      </c>
      <c r="M28" s="223">
        <f>L28/B28</f>
        <v>0.9631253476425744</v>
      </c>
      <c r="AA28" s="350" t="s">
        <v>1883</v>
      </c>
      <c r="AB28" s="350" t="s">
        <v>1186</v>
      </c>
      <c r="AC28" s="227">
        <f>AC27/AC24*1000</f>
        <v>94009.349999999991</v>
      </c>
    </row>
    <row r="29" spans="1:37" x14ac:dyDescent="0.25">
      <c r="AA29" s="350" t="s">
        <v>1891</v>
      </c>
      <c r="AB29" s="350" t="s">
        <v>1892</v>
      </c>
      <c r="AC29" s="223">
        <f>AC28*0.02</f>
        <v>1880.1869999999999</v>
      </c>
    </row>
    <row r="30" spans="1:37" x14ac:dyDescent="0.25">
      <c r="AA30" s="350" t="s">
        <v>1893</v>
      </c>
      <c r="AC30" s="226">
        <v>0.75</v>
      </c>
    </row>
    <row r="31" spans="1:37" x14ac:dyDescent="0.25">
      <c r="AA31" s="350" t="s">
        <v>1897</v>
      </c>
      <c r="AC31" s="226">
        <v>0.04</v>
      </c>
    </row>
    <row r="32" spans="1:37" x14ac:dyDescent="0.25">
      <c r="AA32" s="350" t="s">
        <v>153</v>
      </c>
      <c r="AC32" s="223">
        <v>24</v>
      </c>
    </row>
    <row r="33" spans="27:29" x14ac:dyDescent="0.25">
      <c r="AA33" s="350" t="s">
        <v>1894</v>
      </c>
      <c r="AB33" s="350" t="s">
        <v>1895</v>
      </c>
      <c r="AC33" s="224">
        <f>(-PMT(AC31,AC32,1,0,1)*AC28+AC29)/(AC30*8760)</f>
        <v>1.1885566477609057</v>
      </c>
    </row>
    <row r="34" spans="27:29" x14ac:dyDescent="0.25">
      <c r="AA34" s="350" t="s">
        <v>1894</v>
      </c>
      <c r="AB34" s="350" t="s">
        <v>1898</v>
      </c>
      <c r="AC34" s="224">
        <f>AC33*1.22</f>
        <v>1.450039110268305</v>
      </c>
    </row>
    <row r="35" spans="27:29" x14ac:dyDescent="0.25">
      <c r="AA35" s="350" t="s">
        <v>1896</v>
      </c>
      <c r="AB35" s="350" t="s">
        <v>1898</v>
      </c>
      <c r="AC35" s="224">
        <v>1.462</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6B331-CD84-4273-AAEC-F3A1904E512D}">
  <sheetPr codeName="Sheet54"/>
  <dimension ref="C2:U31"/>
  <sheetViews>
    <sheetView workbookViewId="0">
      <selection activeCell="I16" sqref="I16"/>
    </sheetView>
  </sheetViews>
  <sheetFormatPr defaultColWidth="9.140625" defaultRowHeight="15" x14ac:dyDescent="0.25"/>
  <cols>
    <col min="1" max="2" width="9.140625" style="412"/>
    <col min="3" max="3" width="17.85546875" style="412" customWidth="1"/>
    <col min="4" max="16384" width="9.140625" style="412"/>
  </cols>
  <sheetData>
    <row r="2" spans="3:11" x14ac:dyDescent="0.25">
      <c r="E2" s="265" t="s">
        <v>2187</v>
      </c>
    </row>
    <row r="3" spans="3:11" x14ac:dyDescent="0.25">
      <c r="E3" s="412" t="s">
        <v>962</v>
      </c>
      <c r="F3" s="412" t="s">
        <v>521</v>
      </c>
      <c r="G3" s="412" t="s">
        <v>519</v>
      </c>
      <c r="H3" s="412" t="s">
        <v>917</v>
      </c>
      <c r="I3" s="412" t="s">
        <v>2188</v>
      </c>
      <c r="J3" s="412" t="s">
        <v>2189</v>
      </c>
    </row>
    <row r="4" spans="3:11" x14ac:dyDescent="0.25">
      <c r="C4" s="412" t="s">
        <v>717</v>
      </c>
      <c r="D4" s="412" t="s">
        <v>121</v>
      </c>
      <c r="E4" s="412">
        <v>180</v>
      </c>
      <c r="F4" s="412">
        <v>1000</v>
      </c>
      <c r="G4" s="412">
        <v>400</v>
      </c>
      <c r="H4" s="412">
        <v>1332</v>
      </c>
      <c r="I4" s="412">
        <v>1500</v>
      </c>
      <c r="J4" s="412">
        <v>1200</v>
      </c>
    </row>
    <row r="5" spans="3:11" x14ac:dyDescent="0.25">
      <c r="C5" s="412" t="s">
        <v>2190</v>
      </c>
      <c r="D5" s="412" t="s">
        <v>2191</v>
      </c>
      <c r="E5" s="412">
        <v>75</v>
      </c>
      <c r="F5" s="413">
        <f>78*4</f>
        <v>312</v>
      </c>
      <c r="G5" s="413">
        <f>G6/G11</f>
        <v>133.54700854700855</v>
      </c>
      <c r="H5" s="412">
        <f>85*4</f>
        <v>340</v>
      </c>
    </row>
    <row r="6" spans="3:11" x14ac:dyDescent="0.25">
      <c r="C6" s="412" t="s">
        <v>2192</v>
      </c>
      <c r="D6" s="412" t="s">
        <v>2191</v>
      </c>
      <c r="E6" s="412">
        <v>60</v>
      </c>
      <c r="F6" s="412">
        <f>55*4</f>
        <v>220</v>
      </c>
      <c r="G6" s="413">
        <f>G8/G7/3600*1000000</f>
        <v>104.16666666666667</v>
      </c>
      <c r="H6" s="412">
        <f>67*4</f>
        <v>268</v>
      </c>
    </row>
    <row r="7" spans="3:11" x14ac:dyDescent="0.25">
      <c r="C7" s="412" t="s">
        <v>2193</v>
      </c>
      <c r="D7" s="412" t="s">
        <v>2194</v>
      </c>
      <c r="E7" s="412">
        <v>12</v>
      </c>
      <c r="F7" s="412">
        <v>34.5</v>
      </c>
      <c r="G7" s="412">
        <v>40</v>
      </c>
      <c r="H7" s="412">
        <f>H8*1000000/H6/3600</f>
        <v>20.729684908789388</v>
      </c>
      <c r="K7" s="414">
        <f>E7/$E$14*$K$14</f>
        <v>13.333333333333332</v>
      </c>
    </row>
    <row r="8" spans="3:11" x14ac:dyDescent="0.25">
      <c r="C8" s="412" t="s">
        <v>2195</v>
      </c>
      <c r="D8" s="412" t="s">
        <v>2196</v>
      </c>
      <c r="E8" s="412">
        <f>E7*E6*3600/1000000</f>
        <v>2.5920000000000001</v>
      </c>
      <c r="F8" s="412">
        <f>F7*F6*3600/1000000</f>
        <v>27.324000000000002</v>
      </c>
      <c r="G8" s="412">
        <v>15</v>
      </c>
      <c r="H8" s="412">
        <v>20</v>
      </c>
    </row>
    <row r="9" spans="3:11" x14ac:dyDescent="0.25">
      <c r="C9" s="412" t="s">
        <v>2197</v>
      </c>
      <c r="D9" s="412" t="s">
        <v>2194</v>
      </c>
      <c r="E9" s="412">
        <f>E7*E6/E5</f>
        <v>9.6</v>
      </c>
      <c r="F9" s="412">
        <f>F7*F6/F5</f>
        <v>24.326923076923077</v>
      </c>
      <c r="G9" s="412">
        <f>G7*G6/G5</f>
        <v>31.200000000000003</v>
      </c>
      <c r="H9" s="414">
        <f>H7*H6/H5</f>
        <v>16.33986928104575</v>
      </c>
      <c r="I9" s="412">
        <f>I10/I4</f>
        <v>8</v>
      </c>
      <c r="K9" s="414">
        <f>E9/$E$14*$K$14</f>
        <v>10.666666666666666</v>
      </c>
    </row>
    <row r="10" spans="3:11" x14ac:dyDescent="0.25">
      <c r="C10" s="412" t="s">
        <v>2198</v>
      </c>
      <c r="D10" s="412" t="s">
        <v>124</v>
      </c>
      <c r="E10" s="412">
        <f>E8*1000000/3600/E5*E4</f>
        <v>1728</v>
      </c>
      <c r="F10" s="412">
        <f>F8*1000000/3600/F5*F4</f>
        <v>24326.923076923078</v>
      </c>
      <c r="G10" s="412">
        <f>G8*1000000/3600/G5*G4</f>
        <v>12480.000000000002</v>
      </c>
      <c r="H10" s="415">
        <f>H8*1000000/3600/H5*H4</f>
        <v>21764.705882352941</v>
      </c>
      <c r="I10" s="412">
        <v>12000</v>
      </c>
    </row>
    <row r="11" spans="3:11" x14ac:dyDescent="0.25">
      <c r="C11" s="412" t="s">
        <v>2199</v>
      </c>
      <c r="E11" s="416">
        <f>E6/E5</f>
        <v>0.8</v>
      </c>
      <c r="F11" s="417">
        <v>0.73</v>
      </c>
      <c r="G11" s="417">
        <v>0.78</v>
      </c>
      <c r="H11" s="416">
        <f>H6/H5</f>
        <v>0.78823529411764703</v>
      </c>
    </row>
    <row r="12" spans="3:11" x14ac:dyDescent="0.25">
      <c r="C12" s="412" t="s">
        <v>2200</v>
      </c>
      <c r="D12" s="412" t="s">
        <v>2184</v>
      </c>
      <c r="H12" s="412">
        <v>25</v>
      </c>
      <c r="I12" s="412">
        <f>H12*(1-25%)</f>
        <v>18.75</v>
      </c>
    </row>
    <row r="13" spans="3:11" x14ac:dyDescent="0.25">
      <c r="C13" s="412" t="s">
        <v>2201</v>
      </c>
    </row>
    <row r="14" spans="3:11" x14ac:dyDescent="0.25">
      <c r="E14" s="412">
        <f>E9+E7</f>
        <v>21.6</v>
      </c>
      <c r="K14" s="412">
        <v>24</v>
      </c>
    </row>
    <row r="31" spans="21:21" x14ac:dyDescent="0.25">
      <c r="U31" s="412" t="s">
        <v>2202</v>
      </c>
    </row>
  </sheetData>
  <hyperlinks>
    <hyperlink ref="E2" r:id="rId1" xr:uid="{D0B45E7A-0D6C-4845-8E48-D00598EB848C}"/>
  </hyperlinks>
  <pageMargins left="0.7" right="0.7" top="0.75" bottom="0.75" header="0.3" footer="0.3"/>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ED18-7745-433C-AD77-90DF6DDC47E6}">
  <sheetPr codeName="Sheet25">
    <tabColor theme="7"/>
  </sheetPr>
  <dimension ref="B39:AK191"/>
  <sheetViews>
    <sheetView topLeftCell="A159" zoomScaleNormal="100" workbookViewId="0">
      <selection activeCell="G173" sqref="G173:AJ175"/>
    </sheetView>
  </sheetViews>
  <sheetFormatPr defaultColWidth="8.85546875" defaultRowHeight="12.75" x14ac:dyDescent="0.2"/>
  <cols>
    <col min="2" max="2" width="12" customWidth="1"/>
    <col min="3" max="3" width="29.42578125" customWidth="1"/>
    <col min="4" max="4" width="10.28515625" bestFit="1" customWidth="1"/>
    <col min="22" max="22" width="12.7109375" customWidth="1"/>
    <col min="23" max="23" width="11.28515625" customWidth="1"/>
  </cols>
  <sheetData>
    <row r="39" spans="2:9" x14ac:dyDescent="0.2">
      <c r="D39">
        <v>2020</v>
      </c>
      <c r="E39">
        <v>2025</v>
      </c>
      <c r="F39">
        <v>2030</v>
      </c>
      <c r="G39">
        <v>2040</v>
      </c>
      <c r="H39">
        <v>2050</v>
      </c>
    </row>
    <row r="40" spans="2:9" x14ac:dyDescent="0.2">
      <c r="B40" t="s">
        <v>1471</v>
      </c>
      <c r="C40" t="s">
        <v>1915</v>
      </c>
      <c r="D40">
        <v>12000</v>
      </c>
      <c r="E40">
        <v>10000</v>
      </c>
      <c r="F40">
        <v>9000</v>
      </c>
      <c r="G40">
        <v>6000</v>
      </c>
      <c r="H40">
        <v>4100</v>
      </c>
      <c r="I40">
        <f>H40/ProcDataRECostProfiles!N10</f>
        <v>4370.7547169811314</v>
      </c>
    </row>
    <row r="41" spans="2:9" x14ac:dyDescent="0.2">
      <c r="B41" t="s">
        <v>239</v>
      </c>
      <c r="C41" t="s">
        <v>1915</v>
      </c>
      <c r="D41">
        <v>25000</v>
      </c>
      <c r="E41">
        <v>22000</v>
      </c>
      <c r="F41">
        <v>20000</v>
      </c>
      <c r="G41">
        <v>18000</v>
      </c>
      <c r="H41">
        <v>17000</v>
      </c>
    </row>
    <row r="42" spans="2:9" x14ac:dyDescent="0.2">
      <c r="B42" t="s">
        <v>1916</v>
      </c>
      <c r="C42" t="s">
        <v>1915</v>
      </c>
      <c r="D42">
        <v>38000</v>
      </c>
      <c r="E42">
        <v>38000</v>
      </c>
      <c r="F42">
        <v>38000</v>
      </c>
      <c r="G42">
        <v>38000</v>
      </c>
      <c r="H42">
        <v>37000</v>
      </c>
      <c r="I42">
        <f>24500+12500</f>
        <v>37000</v>
      </c>
    </row>
    <row r="43" spans="2:9" x14ac:dyDescent="0.2">
      <c r="B43" s="330" t="s">
        <v>2491</v>
      </c>
      <c r="C43">
        <v>1.1160000000000001</v>
      </c>
    </row>
    <row r="44" spans="2:9" x14ac:dyDescent="0.2">
      <c r="B44" t="s">
        <v>1917</v>
      </c>
      <c r="C44" s="330" t="s">
        <v>2488</v>
      </c>
      <c r="D44">
        <f>D40*$C$43</f>
        <v>13392.000000000002</v>
      </c>
      <c r="E44">
        <f t="shared" ref="E44:H44" si="0">E40*$C$43</f>
        <v>11160.000000000002</v>
      </c>
      <c r="F44">
        <f t="shared" si="0"/>
        <v>10044.000000000002</v>
      </c>
      <c r="G44">
        <f t="shared" si="0"/>
        <v>6696.0000000000009</v>
      </c>
      <c r="H44">
        <f t="shared" si="0"/>
        <v>4575.6000000000004</v>
      </c>
    </row>
    <row r="45" spans="2:9" x14ac:dyDescent="0.2">
      <c r="B45" t="s">
        <v>1918</v>
      </c>
      <c r="C45" s="330" t="s">
        <v>2488</v>
      </c>
      <c r="D45" s="362">
        <f>D44/ProcDataRECostProfiles!$N$10</f>
        <v>14276.377358490567</v>
      </c>
      <c r="E45" s="362">
        <f>E44/ProcDataRECostProfiles!$N$10</f>
        <v>11896.981132075472</v>
      </c>
      <c r="F45" s="362">
        <f>F44/ProcDataRECostProfiles!$N$10</f>
        <v>10707.283018867925</v>
      </c>
      <c r="G45" s="362">
        <f>G44/ProcDataRECostProfiles!$N$10</f>
        <v>7138.1886792452833</v>
      </c>
      <c r="H45" s="362">
        <f>H44/ProcDataRECostProfiles!$N$10</f>
        <v>4877.7622641509433</v>
      </c>
    </row>
    <row r="46" spans="2:9" x14ac:dyDescent="0.2">
      <c r="B46" t="str">
        <f>B41</f>
        <v>Wind</v>
      </c>
      <c r="C46" s="330" t="s">
        <v>2488</v>
      </c>
      <c r="D46">
        <f>D41*$C$43</f>
        <v>27900.000000000004</v>
      </c>
      <c r="E46">
        <f t="shared" ref="E46:H47" si="1">E41*$C$43</f>
        <v>24552.000000000004</v>
      </c>
      <c r="F46">
        <f t="shared" si="1"/>
        <v>22320.000000000004</v>
      </c>
      <c r="G46">
        <f t="shared" si="1"/>
        <v>20088.000000000004</v>
      </c>
      <c r="H46">
        <f t="shared" si="1"/>
        <v>18972</v>
      </c>
    </row>
    <row r="47" spans="2:9" x14ac:dyDescent="0.2">
      <c r="B47" t="str">
        <f>B42</f>
        <v>Coal+CCS</v>
      </c>
      <c r="C47" s="330" t="s">
        <v>2488</v>
      </c>
      <c r="D47">
        <f>D42*$C$43</f>
        <v>42408.000000000007</v>
      </c>
      <c r="E47">
        <f t="shared" si="1"/>
        <v>42408.000000000007</v>
      </c>
      <c r="F47">
        <f t="shared" si="1"/>
        <v>42408.000000000007</v>
      </c>
      <c r="G47">
        <f t="shared" si="1"/>
        <v>42408.000000000007</v>
      </c>
      <c r="H47">
        <f t="shared" si="1"/>
        <v>41292.000000000007</v>
      </c>
    </row>
    <row r="53" spans="2:37" ht="15" x14ac:dyDescent="0.25">
      <c r="B53" s="493"/>
      <c r="C53" s="364"/>
      <c r="D53" s="365">
        <v>2018</v>
      </c>
      <c r="E53" s="365">
        <v>2019</v>
      </c>
      <c r="F53" s="365">
        <v>2020</v>
      </c>
      <c r="G53" s="365">
        <v>2021</v>
      </c>
      <c r="H53" s="365">
        <v>2022</v>
      </c>
      <c r="I53" s="365">
        <v>2023</v>
      </c>
      <c r="J53" s="365">
        <v>2024</v>
      </c>
      <c r="K53" s="365">
        <v>2025</v>
      </c>
      <c r="L53" s="365">
        <v>2026</v>
      </c>
      <c r="M53" s="365">
        <v>2027</v>
      </c>
      <c r="N53" s="365">
        <v>2028</v>
      </c>
      <c r="O53" s="365">
        <v>2029</v>
      </c>
      <c r="P53" s="365">
        <v>2030</v>
      </c>
      <c r="Q53" s="365">
        <v>2031</v>
      </c>
      <c r="R53" s="365">
        <v>2032</v>
      </c>
      <c r="S53" s="365">
        <v>2033</v>
      </c>
      <c r="T53" s="365">
        <v>2034</v>
      </c>
      <c r="U53" s="365">
        <v>2035</v>
      </c>
      <c r="V53" s="365">
        <v>2036</v>
      </c>
      <c r="W53" s="365">
        <v>2037</v>
      </c>
      <c r="X53" s="365">
        <v>2038</v>
      </c>
      <c r="Y53" s="365">
        <v>2039</v>
      </c>
      <c r="Z53" s="365">
        <v>2040</v>
      </c>
      <c r="AA53" s="365">
        <v>2041</v>
      </c>
      <c r="AB53" s="365">
        <v>2042</v>
      </c>
      <c r="AC53" s="365">
        <v>2043</v>
      </c>
      <c r="AD53" s="365">
        <v>2044</v>
      </c>
      <c r="AE53" s="365">
        <v>2045</v>
      </c>
      <c r="AF53" s="365">
        <v>2046</v>
      </c>
      <c r="AG53" s="365">
        <v>2047</v>
      </c>
      <c r="AH53" s="365">
        <v>2048</v>
      </c>
      <c r="AI53" s="365">
        <v>2049</v>
      </c>
      <c r="AJ53" s="365">
        <v>2050</v>
      </c>
    </row>
    <row r="54" spans="2:37" x14ac:dyDescent="0.2">
      <c r="B54" s="541" t="s">
        <v>1925</v>
      </c>
      <c r="C54" s="366" t="s">
        <v>1926</v>
      </c>
      <c r="D54" s="367">
        <v>1565.881911152549</v>
      </c>
      <c r="E54" s="367">
        <v>1375.3776789225374</v>
      </c>
      <c r="F54" s="367">
        <v>1311.5402793278154</v>
      </c>
      <c r="G54" s="367">
        <v>1247.7028797330936</v>
      </c>
      <c r="H54" s="367">
        <v>1183.8654801383716</v>
      </c>
      <c r="I54" s="367">
        <v>1120.0280805436498</v>
      </c>
      <c r="J54" s="367">
        <v>1056.1906809489278</v>
      </c>
      <c r="K54" s="367">
        <v>992.35328135420593</v>
      </c>
      <c r="L54" s="367">
        <v>928.51588175948405</v>
      </c>
      <c r="M54" s="367">
        <v>864.67848216476216</v>
      </c>
      <c r="N54" s="367">
        <v>800.84108257004027</v>
      </c>
      <c r="O54" s="367">
        <v>737.00368297531838</v>
      </c>
      <c r="P54" s="367">
        <v>673.16628338059581</v>
      </c>
      <c r="Q54" s="367">
        <v>664.83642929418932</v>
      </c>
      <c r="R54" s="367">
        <v>656.50657520778282</v>
      </c>
      <c r="S54" s="367">
        <v>648.1767211213762</v>
      </c>
      <c r="T54" s="367">
        <v>639.8468670349697</v>
      </c>
      <c r="U54" s="367">
        <v>631.51701294856321</v>
      </c>
      <c r="V54" s="367">
        <v>623.18715886215671</v>
      </c>
      <c r="W54" s="367">
        <v>614.85730477575021</v>
      </c>
      <c r="X54" s="367">
        <v>606.52745068934371</v>
      </c>
      <c r="Y54" s="367">
        <v>598.1975966029371</v>
      </c>
      <c r="Z54" s="367">
        <v>589.8677425165306</v>
      </c>
      <c r="AA54" s="367">
        <v>581.5378884301241</v>
      </c>
      <c r="AB54" s="367">
        <v>573.2080343437176</v>
      </c>
      <c r="AC54" s="367">
        <v>564.8781802573111</v>
      </c>
      <c r="AD54" s="367">
        <v>556.5483261709046</v>
      </c>
      <c r="AE54" s="367">
        <v>548.21847208449799</v>
      </c>
      <c r="AF54" s="367">
        <v>539.88861799809149</v>
      </c>
      <c r="AG54" s="367">
        <v>531.55876391168499</v>
      </c>
      <c r="AH54" s="367">
        <v>523.22890982527849</v>
      </c>
      <c r="AI54" s="367">
        <v>514.89905573887199</v>
      </c>
      <c r="AJ54" s="367">
        <v>506.56920165246623</v>
      </c>
      <c r="AK54" s="376">
        <f>AJ54/F54</f>
        <v>0.3862399116800978</v>
      </c>
    </row>
    <row r="55" spans="2:37" x14ac:dyDescent="0.2">
      <c r="B55" s="542"/>
      <c r="C55" s="368" t="s">
        <v>1927</v>
      </c>
      <c r="D55" s="369">
        <v>1565.881911152549</v>
      </c>
      <c r="E55" s="369">
        <v>1375.3776789225374</v>
      </c>
      <c r="F55" s="369">
        <v>1324.7614928945147</v>
      </c>
      <c r="G55" s="369">
        <v>1274.1453068664923</v>
      </c>
      <c r="H55" s="369">
        <v>1223.5291208384697</v>
      </c>
      <c r="I55" s="369">
        <v>1172.9129348104473</v>
      </c>
      <c r="J55" s="369">
        <v>1122.2967487824246</v>
      </c>
      <c r="K55" s="369">
        <v>1071.6805627544022</v>
      </c>
      <c r="L55" s="369">
        <v>1021.0643767263796</v>
      </c>
      <c r="M55" s="369">
        <v>970.44819069835705</v>
      </c>
      <c r="N55" s="369">
        <v>919.83200467033453</v>
      </c>
      <c r="O55" s="369">
        <v>869.215818642312</v>
      </c>
      <c r="P55" s="369">
        <v>818.5996326142897</v>
      </c>
      <c r="Q55" s="369">
        <v>811.32796515260497</v>
      </c>
      <c r="R55" s="369">
        <v>804.05629769092025</v>
      </c>
      <c r="S55" s="369">
        <v>796.78463022923552</v>
      </c>
      <c r="T55" s="369">
        <v>789.51296276755079</v>
      </c>
      <c r="U55" s="369">
        <v>782.24129530586606</v>
      </c>
      <c r="V55" s="369">
        <v>774.96962784418133</v>
      </c>
      <c r="W55" s="369">
        <v>767.6979603824966</v>
      </c>
      <c r="X55" s="369">
        <v>760.42629292081187</v>
      </c>
      <c r="Y55" s="369">
        <v>753.15462545912715</v>
      </c>
      <c r="Z55" s="369">
        <v>745.88295799744242</v>
      </c>
      <c r="AA55" s="369">
        <v>738.61129053575769</v>
      </c>
      <c r="AB55" s="369">
        <v>731.33962307407296</v>
      </c>
      <c r="AC55" s="369">
        <v>724.06795561238823</v>
      </c>
      <c r="AD55" s="369">
        <v>716.7962881507035</v>
      </c>
      <c r="AE55" s="369">
        <v>709.52462068901878</v>
      </c>
      <c r="AF55" s="369">
        <v>702.25295322733405</v>
      </c>
      <c r="AG55" s="369">
        <v>694.98128576564932</v>
      </c>
      <c r="AH55" s="369">
        <v>687.70961830396459</v>
      </c>
      <c r="AI55" s="369">
        <v>680.43795084227986</v>
      </c>
      <c r="AJ55" s="369">
        <v>673.16628338059581</v>
      </c>
      <c r="AK55" s="376">
        <f t="shared" ref="AK55:AK72" si="2">AJ55/F55</f>
        <v>0.50814149338668713</v>
      </c>
    </row>
    <row r="56" spans="2:37" ht="13.5" thickBot="1" x14ac:dyDescent="0.25">
      <c r="B56" s="542"/>
      <c r="C56" s="370" t="s">
        <v>1928</v>
      </c>
      <c r="D56" s="371">
        <v>1565.881911152549</v>
      </c>
      <c r="E56" s="371">
        <v>1375.3776789225374</v>
      </c>
      <c r="F56" s="371">
        <v>1359.1938040594632</v>
      </c>
      <c r="G56" s="371">
        <v>1343.0099291963893</v>
      </c>
      <c r="H56" s="371">
        <v>1326.8260543333151</v>
      </c>
      <c r="I56" s="371">
        <v>1310.6421794702412</v>
      </c>
      <c r="J56" s="371">
        <v>1294.4583046071671</v>
      </c>
      <c r="K56" s="371">
        <v>1278.2744297440931</v>
      </c>
      <c r="L56" s="371">
        <v>1262.090554881019</v>
      </c>
      <c r="M56" s="371">
        <v>1245.9066800179451</v>
      </c>
      <c r="N56" s="371">
        <v>1229.7228051548709</v>
      </c>
      <c r="O56" s="371">
        <v>1213.538930291797</v>
      </c>
      <c r="P56" s="371">
        <v>1197.3550554287217</v>
      </c>
      <c r="Q56" s="371">
        <v>1178.417284288</v>
      </c>
      <c r="R56" s="371">
        <v>1159.4795131472783</v>
      </c>
      <c r="S56" s="371">
        <v>1140.5417420065567</v>
      </c>
      <c r="T56" s="371">
        <v>1121.603970865835</v>
      </c>
      <c r="U56" s="371">
        <v>1102.6661997251133</v>
      </c>
      <c r="V56" s="371">
        <v>1083.7284285843916</v>
      </c>
      <c r="W56" s="371">
        <v>1064.7906574436699</v>
      </c>
      <c r="X56" s="371">
        <v>1045.852886302948</v>
      </c>
      <c r="Y56" s="371">
        <v>1026.9151151622264</v>
      </c>
      <c r="Z56" s="371">
        <v>1007.9773440215048</v>
      </c>
      <c r="AA56" s="371">
        <v>989.03957288078311</v>
      </c>
      <c r="AB56" s="371">
        <v>970.10180174006155</v>
      </c>
      <c r="AC56" s="371">
        <v>951.16403059933998</v>
      </c>
      <c r="AD56" s="371">
        <v>932.22625945861842</v>
      </c>
      <c r="AE56" s="371">
        <v>913.28848831789674</v>
      </c>
      <c r="AF56" s="371">
        <v>894.35071717717517</v>
      </c>
      <c r="AG56" s="371">
        <v>875.4129460364536</v>
      </c>
      <c r="AH56" s="371">
        <v>856.47517489573204</v>
      </c>
      <c r="AI56" s="371">
        <v>837.53740375501036</v>
      </c>
      <c r="AJ56" s="371">
        <v>818.5996326142897</v>
      </c>
      <c r="AK56" s="376">
        <f t="shared" si="2"/>
        <v>0.60226851400396531</v>
      </c>
    </row>
    <row r="57" spans="2:37" ht="13.5" thickTop="1" x14ac:dyDescent="0.2">
      <c r="B57" s="542"/>
      <c r="C57" s="366" t="s">
        <v>1929</v>
      </c>
      <c r="D57" s="367">
        <f>D54</f>
        <v>1565.881911152549</v>
      </c>
      <c r="E57" s="367">
        <f t="shared" ref="E57:AJ57" si="3">E54</f>
        <v>1375.3776789225374</v>
      </c>
      <c r="F57" s="367">
        <f t="shared" si="3"/>
        <v>1311.5402793278154</v>
      </c>
      <c r="G57" s="367">
        <f t="shared" si="3"/>
        <v>1247.7028797330936</v>
      </c>
      <c r="H57" s="367">
        <f t="shared" si="3"/>
        <v>1183.8654801383716</v>
      </c>
      <c r="I57" s="367">
        <f t="shared" si="3"/>
        <v>1120.0280805436498</v>
      </c>
      <c r="J57" s="367">
        <f t="shared" si="3"/>
        <v>1056.1906809489278</v>
      </c>
      <c r="K57" s="367">
        <f t="shared" si="3"/>
        <v>992.35328135420593</v>
      </c>
      <c r="L57" s="367">
        <f t="shared" si="3"/>
        <v>928.51588175948405</v>
      </c>
      <c r="M57" s="367">
        <f t="shared" si="3"/>
        <v>864.67848216476216</v>
      </c>
      <c r="N57" s="367">
        <f t="shared" si="3"/>
        <v>800.84108257004027</v>
      </c>
      <c r="O57" s="367">
        <f t="shared" si="3"/>
        <v>737.00368297531838</v>
      </c>
      <c r="P57" s="367">
        <f t="shared" si="3"/>
        <v>673.16628338059581</v>
      </c>
      <c r="Q57" s="367">
        <f t="shared" si="3"/>
        <v>664.83642929418932</v>
      </c>
      <c r="R57" s="367">
        <f t="shared" si="3"/>
        <v>656.50657520778282</v>
      </c>
      <c r="S57" s="367">
        <f t="shared" si="3"/>
        <v>648.1767211213762</v>
      </c>
      <c r="T57" s="367">
        <f t="shared" si="3"/>
        <v>639.8468670349697</v>
      </c>
      <c r="U57" s="367">
        <f t="shared" si="3"/>
        <v>631.51701294856321</v>
      </c>
      <c r="V57" s="367">
        <f t="shared" si="3"/>
        <v>623.18715886215671</v>
      </c>
      <c r="W57" s="367">
        <f t="shared" si="3"/>
        <v>614.85730477575021</v>
      </c>
      <c r="X57" s="367">
        <f t="shared" si="3"/>
        <v>606.52745068934371</v>
      </c>
      <c r="Y57" s="367">
        <f t="shared" si="3"/>
        <v>598.1975966029371</v>
      </c>
      <c r="Z57" s="367">
        <f t="shared" si="3"/>
        <v>589.8677425165306</v>
      </c>
      <c r="AA57" s="367">
        <f t="shared" si="3"/>
        <v>581.5378884301241</v>
      </c>
      <c r="AB57" s="367">
        <f t="shared" si="3"/>
        <v>573.2080343437176</v>
      </c>
      <c r="AC57" s="367">
        <f t="shared" si="3"/>
        <v>564.8781802573111</v>
      </c>
      <c r="AD57" s="367">
        <f t="shared" si="3"/>
        <v>556.5483261709046</v>
      </c>
      <c r="AE57" s="367">
        <f t="shared" si="3"/>
        <v>548.21847208449799</v>
      </c>
      <c r="AF57" s="367">
        <f t="shared" si="3"/>
        <v>539.88861799809149</v>
      </c>
      <c r="AG57" s="367">
        <f t="shared" si="3"/>
        <v>531.55876391168499</v>
      </c>
      <c r="AH57" s="367">
        <f t="shared" si="3"/>
        <v>523.22890982527849</v>
      </c>
      <c r="AI57" s="367">
        <f t="shared" si="3"/>
        <v>514.89905573887199</v>
      </c>
      <c r="AJ57" s="367">
        <f t="shared" si="3"/>
        <v>506.56920165246623</v>
      </c>
      <c r="AK57" s="376">
        <f t="shared" si="2"/>
        <v>0.3862399116800978</v>
      </c>
    </row>
    <row r="58" spans="2:37" x14ac:dyDescent="0.2">
      <c r="B58" s="542"/>
      <c r="C58" s="368" t="s">
        <v>1930</v>
      </c>
      <c r="D58" s="369">
        <f t="shared" ref="D58:AJ65" si="4">D55</f>
        <v>1565.881911152549</v>
      </c>
      <c r="E58" s="369">
        <f t="shared" si="4"/>
        <v>1375.3776789225374</v>
      </c>
      <c r="F58" s="369">
        <f t="shared" si="4"/>
        <v>1324.7614928945147</v>
      </c>
      <c r="G58" s="369">
        <f t="shared" si="4"/>
        <v>1274.1453068664923</v>
      </c>
      <c r="H58" s="369">
        <f t="shared" si="4"/>
        <v>1223.5291208384697</v>
      </c>
      <c r="I58" s="369">
        <f t="shared" si="4"/>
        <v>1172.9129348104473</v>
      </c>
      <c r="J58" s="369">
        <f t="shared" si="4"/>
        <v>1122.2967487824246</v>
      </c>
      <c r="K58" s="369">
        <f t="shared" si="4"/>
        <v>1071.6805627544022</v>
      </c>
      <c r="L58" s="369">
        <f t="shared" si="4"/>
        <v>1021.0643767263796</v>
      </c>
      <c r="M58" s="369">
        <f t="shared" si="4"/>
        <v>970.44819069835705</v>
      </c>
      <c r="N58" s="369">
        <f t="shared" si="4"/>
        <v>919.83200467033453</v>
      </c>
      <c r="O58" s="369">
        <f t="shared" si="4"/>
        <v>869.215818642312</v>
      </c>
      <c r="P58" s="369">
        <f t="shared" si="4"/>
        <v>818.5996326142897</v>
      </c>
      <c r="Q58" s="369">
        <f t="shared" si="4"/>
        <v>811.32796515260497</v>
      </c>
      <c r="R58" s="369">
        <f t="shared" si="4"/>
        <v>804.05629769092025</v>
      </c>
      <c r="S58" s="369">
        <f t="shared" si="4"/>
        <v>796.78463022923552</v>
      </c>
      <c r="T58" s="369">
        <f t="shared" si="4"/>
        <v>789.51296276755079</v>
      </c>
      <c r="U58" s="369">
        <f t="shared" si="4"/>
        <v>782.24129530586606</v>
      </c>
      <c r="V58" s="369">
        <f t="shared" si="4"/>
        <v>774.96962784418133</v>
      </c>
      <c r="W58" s="369">
        <f t="shared" si="4"/>
        <v>767.6979603824966</v>
      </c>
      <c r="X58" s="369">
        <f t="shared" si="4"/>
        <v>760.42629292081187</v>
      </c>
      <c r="Y58" s="369">
        <f t="shared" si="4"/>
        <v>753.15462545912715</v>
      </c>
      <c r="Z58" s="369">
        <f t="shared" si="4"/>
        <v>745.88295799744242</v>
      </c>
      <c r="AA58" s="369">
        <f t="shared" si="4"/>
        <v>738.61129053575769</v>
      </c>
      <c r="AB58" s="369">
        <f t="shared" si="4"/>
        <v>731.33962307407296</v>
      </c>
      <c r="AC58" s="369">
        <f t="shared" si="4"/>
        <v>724.06795561238823</v>
      </c>
      <c r="AD58" s="369">
        <f t="shared" si="4"/>
        <v>716.7962881507035</v>
      </c>
      <c r="AE58" s="369">
        <f t="shared" si="4"/>
        <v>709.52462068901878</v>
      </c>
      <c r="AF58" s="369">
        <f t="shared" si="4"/>
        <v>702.25295322733405</v>
      </c>
      <c r="AG58" s="369">
        <f t="shared" si="4"/>
        <v>694.98128576564932</v>
      </c>
      <c r="AH58" s="369">
        <f t="shared" si="4"/>
        <v>687.70961830396459</v>
      </c>
      <c r="AI58" s="369">
        <f t="shared" si="4"/>
        <v>680.43795084227986</v>
      </c>
      <c r="AJ58" s="369">
        <f t="shared" si="4"/>
        <v>673.16628338059581</v>
      </c>
      <c r="AK58" s="376">
        <f t="shared" si="2"/>
        <v>0.50814149338668713</v>
      </c>
    </row>
    <row r="59" spans="2:37" ht="13.5" thickBot="1" x14ac:dyDescent="0.25">
      <c r="B59" s="542"/>
      <c r="C59" s="370" t="s">
        <v>1931</v>
      </c>
      <c r="D59" s="371">
        <f t="shared" si="4"/>
        <v>1565.881911152549</v>
      </c>
      <c r="E59" s="371">
        <f t="shared" si="4"/>
        <v>1375.3776789225374</v>
      </c>
      <c r="F59" s="371">
        <f t="shared" si="4"/>
        <v>1359.1938040594632</v>
      </c>
      <c r="G59" s="371">
        <f t="shared" si="4"/>
        <v>1343.0099291963893</v>
      </c>
      <c r="H59" s="371">
        <f t="shared" si="4"/>
        <v>1326.8260543333151</v>
      </c>
      <c r="I59" s="371">
        <f t="shared" si="4"/>
        <v>1310.6421794702412</v>
      </c>
      <c r="J59" s="371">
        <f t="shared" si="4"/>
        <v>1294.4583046071671</v>
      </c>
      <c r="K59" s="371">
        <f t="shared" si="4"/>
        <v>1278.2744297440931</v>
      </c>
      <c r="L59" s="371">
        <f t="shared" si="4"/>
        <v>1262.090554881019</v>
      </c>
      <c r="M59" s="371">
        <f t="shared" si="4"/>
        <v>1245.9066800179451</v>
      </c>
      <c r="N59" s="371">
        <f t="shared" si="4"/>
        <v>1229.7228051548709</v>
      </c>
      <c r="O59" s="371">
        <f t="shared" si="4"/>
        <v>1213.538930291797</v>
      </c>
      <c r="P59" s="371">
        <f t="shared" si="4"/>
        <v>1197.3550554287217</v>
      </c>
      <c r="Q59" s="371">
        <f t="shared" si="4"/>
        <v>1178.417284288</v>
      </c>
      <c r="R59" s="371">
        <f t="shared" si="4"/>
        <v>1159.4795131472783</v>
      </c>
      <c r="S59" s="371">
        <f t="shared" si="4"/>
        <v>1140.5417420065567</v>
      </c>
      <c r="T59" s="371">
        <f t="shared" si="4"/>
        <v>1121.603970865835</v>
      </c>
      <c r="U59" s="371">
        <f t="shared" si="4"/>
        <v>1102.6661997251133</v>
      </c>
      <c r="V59" s="371">
        <f t="shared" si="4"/>
        <v>1083.7284285843916</v>
      </c>
      <c r="W59" s="371">
        <f t="shared" si="4"/>
        <v>1064.7906574436699</v>
      </c>
      <c r="X59" s="371">
        <f t="shared" si="4"/>
        <v>1045.852886302948</v>
      </c>
      <c r="Y59" s="371">
        <f t="shared" si="4"/>
        <v>1026.9151151622264</v>
      </c>
      <c r="Z59" s="371">
        <f t="shared" si="4"/>
        <v>1007.9773440215048</v>
      </c>
      <c r="AA59" s="371">
        <f t="shared" si="4"/>
        <v>989.03957288078311</v>
      </c>
      <c r="AB59" s="371">
        <f t="shared" si="4"/>
        <v>970.10180174006155</v>
      </c>
      <c r="AC59" s="371">
        <f t="shared" si="4"/>
        <v>951.16403059933998</v>
      </c>
      <c r="AD59" s="371">
        <f t="shared" si="4"/>
        <v>932.22625945861842</v>
      </c>
      <c r="AE59" s="371">
        <f t="shared" si="4"/>
        <v>913.28848831789674</v>
      </c>
      <c r="AF59" s="371">
        <f t="shared" si="4"/>
        <v>894.35071717717517</v>
      </c>
      <c r="AG59" s="371">
        <f t="shared" si="4"/>
        <v>875.4129460364536</v>
      </c>
      <c r="AH59" s="371">
        <f t="shared" si="4"/>
        <v>856.47517489573204</v>
      </c>
      <c r="AI59" s="371">
        <f t="shared" si="4"/>
        <v>837.53740375501036</v>
      </c>
      <c r="AJ59" s="371">
        <f t="shared" si="4"/>
        <v>818.5996326142897</v>
      </c>
      <c r="AK59" s="376">
        <f t="shared" si="2"/>
        <v>0.60226851400396531</v>
      </c>
    </row>
    <row r="60" spans="2:37" ht="13.5" thickTop="1" x14ac:dyDescent="0.2">
      <c r="B60" s="542"/>
      <c r="C60" s="366" t="s">
        <v>1932</v>
      </c>
      <c r="D60" s="367">
        <f t="shared" si="4"/>
        <v>1565.881911152549</v>
      </c>
      <c r="E60" s="367">
        <f t="shared" si="4"/>
        <v>1375.3776789225374</v>
      </c>
      <c r="F60" s="367">
        <f t="shared" si="4"/>
        <v>1311.5402793278154</v>
      </c>
      <c r="G60" s="367">
        <f t="shared" si="4"/>
        <v>1247.7028797330936</v>
      </c>
      <c r="H60" s="367">
        <f t="shared" si="4"/>
        <v>1183.8654801383716</v>
      </c>
      <c r="I60" s="367">
        <f t="shared" si="4"/>
        <v>1120.0280805436498</v>
      </c>
      <c r="J60" s="367">
        <f t="shared" si="4"/>
        <v>1056.1906809489278</v>
      </c>
      <c r="K60" s="367">
        <f t="shared" si="4"/>
        <v>992.35328135420593</v>
      </c>
      <c r="L60" s="367">
        <f t="shared" si="4"/>
        <v>928.51588175948405</v>
      </c>
      <c r="M60" s="367">
        <f t="shared" si="4"/>
        <v>864.67848216476216</v>
      </c>
      <c r="N60" s="367">
        <f t="shared" si="4"/>
        <v>800.84108257004027</v>
      </c>
      <c r="O60" s="367">
        <f t="shared" si="4"/>
        <v>737.00368297531838</v>
      </c>
      <c r="P60" s="367">
        <f t="shared" si="4"/>
        <v>673.16628338059581</v>
      </c>
      <c r="Q60" s="367">
        <f t="shared" si="4"/>
        <v>664.83642929418932</v>
      </c>
      <c r="R60" s="367">
        <f t="shared" si="4"/>
        <v>656.50657520778282</v>
      </c>
      <c r="S60" s="367">
        <f t="shared" si="4"/>
        <v>648.1767211213762</v>
      </c>
      <c r="T60" s="367">
        <f t="shared" si="4"/>
        <v>639.8468670349697</v>
      </c>
      <c r="U60" s="367">
        <f t="shared" si="4"/>
        <v>631.51701294856321</v>
      </c>
      <c r="V60" s="367">
        <f t="shared" si="4"/>
        <v>623.18715886215671</v>
      </c>
      <c r="W60" s="367">
        <f t="shared" si="4"/>
        <v>614.85730477575021</v>
      </c>
      <c r="X60" s="367">
        <f t="shared" si="4"/>
        <v>606.52745068934371</v>
      </c>
      <c r="Y60" s="367">
        <f t="shared" si="4"/>
        <v>598.1975966029371</v>
      </c>
      <c r="Z60" s="367">
        <f t="shared" si="4"/>
        <v>589.8677425165306</v>
      </c>
      <c r="AA60" s="367">
        <f t="shared" si="4"/>
        <v>581.5378884301241</v>
      </c>
      <c r="AB60" s="367">
        <f t="shared" si="4"/>
        <v>573.2080343437176</v>
      </c>
      <c r="AC60" s="367">
        <f t="shared" si="4"/>
        <v>564.8781802573111</v>
      </c>
      <c r="AD60" s="367">
        <f t="shared" si="4"/>
        <v>556.5483261709046</v>
      </c>
      <c r="AE60" s="367">
        <f t="shared" si="4"/>
        <v>548.21847208449799</v>
      </c>
      <c r="AF60" s="367">
        <f t="shared" si="4"/>
        <v>539.88861799809149</v>
      </c>
      <c r="AG60" s="367">
        <f t="shared" si="4"/>
        <v>531.55876391168499</v>
      </c>
      <c r="AH60" s="367">
        <f t="shared" si="4"/>
        <v>523.22890982527849</v>
      </c>
      <c r="AI60" s="367">
        <f t="shared" si="4"/>
        <v>514.89905573887199</v>
      </c>
      <c r="AJ60" s="367">
        <f t="shared" si="4"/>
        <v>506.56920165246623</v>
      </c>
      <c r="AK60" s="376">
        <f t="shared" si="2"/>
        <v>0.3862399116800978</v>
      </c>
    </row>
    <row r="61" spans="2:37" x14ac:dyDescent="0.2">
      <c r="B61" s="542"/>
      <c r="C61" s="368" t="s">
        <v>1933</v>
      </c>
      <c r="D61" s="369">
        <f t="shared" si="4"/>
        <v>1565.881911152549</v>
      </c>
      <c r="E61" s="369">
        <f t="shared" si="4"/>
        <v>1375.3776789225374</v>
      </c>
      <c r="F61" s="369">
        <f t="shared" si="4"/>
        <v>1324.7614928945147</v>
      </c>
      <c r="G61" s="369">
        <f t="shared" si="4"/>
        <v>1274.1453068664923</v>
      </c>
      <c r="H61" s="369">
        <f t="shared" si="4"/>
        <v>1223.5291208384697</v>
      </c>
      <c r="I61" s="369">
        <f t="shared" si="4"/>
        <v>1172.9129348104473</v>
      </c>
      <c r="J61" s="369">
        <f t="shared" si="4"/>
        <v>1122.2967487824246</v>
      </c>
      <c r="K61" s="369">
        <f t="shared" si="4"/>
        <v>1071.6805627544022</v>
      </c>
      <c r="L61" s="369">
        <f t="shared" si="4"/>
        <v>1021.0643767263796</v>
      </c>
      <c r="M61" s="369">
        <f t="shared" si="4"/>
        <v>970.44819069835705</v>
      </c>
      <c r="N61" s="369">
        <f t="shared" si="4"/>
        <v>919.83200467033453</v>
      </c>
      <c r="O61" s="369">
        <f t="shared" si="4"/>
        <v>869.215818642312</v>
      </c>
      <c r="P61" s="369">
        <f t="shared" si="4"/>
        <v>818.5996326142897</v>
      </c>
      <c r="Q61" s="369">
        <f t="shared" si="4"/>
        <v>811.32796515260497</v>
      </c>
      <c r="R61" s="369">
        <f t="shared" si="4"/>
        <v>804.05629769092025</v>
      </c>
      <c r="S61" s="369">
        <f t="shared" si="4"/>
        <v>796.78463022923552</v>
      </c>
      <c r="T61" s="369">
        <f t="shared" si="4"/>
        <v>789.51296276755079</v>
      </c>
      <c r="U61" s="369">
        <f t="shared" si="4"/>
        <v>782.24129530586606</v>
      </c>
      <c r="V61" s="369">
        <f t="shared" si="4"/>
        <v>774.96962784418133</v>
      </c>
      <c r="W61" s="369">
        <f t="shared" si="4"/>
        <v>767.6979603824966</v>
      </c>
      <c r="X61" s="369">
        <f t="shared" si="4"/>
        <v>760.42629292081187</v>
      </c>
      <c r="Y61" s="369">
        <f t="shared" si="4"/>
        <v>753.15462545912715</v>
      </c>
      <c r="Z61" s="369">
        <f t="shared" si="4"/>
        <v>745.88295799744242</v>
      </c>
      <c r="AA61" s="369">
        <f t="shared" si="4"/>
        <v>738.61129053575769</v>
      </c>
      <c r="AB61" s="369">
        <f t="shared" si="4"/>
        <v>731.33962307407296</v>
      </c>
      <c r="AC61" s="369">
        <f t="shared" si="4"/>
        <v>724.06795561238823</v>
      </c>
      <c r="AD61" s="369">
        <f t="shared" si="4"/>
        <v>716.7962881507035</v>
      </c>
      <c r="AE61" s="369">
        <f t="shared" si="4"/>
        <v>709.52462068901878</v>
      </c>
      <c r="AF61" s="369">
        <f t="shared" si="4"/>
        <v>702.25295322733405</v>
      </c>
      <c r="AG61" s="369">
        <f t="shared" si="4"/>
        <v>694.98128576564932</v>
      </c>
      <c r="AH61" s="369">
        <f t="shared" si="4"/>
        <v>687.70961830396459</v>
      </c>
      <c r="AI61" s="369">
        <f t="shared" si="4"/>
        <v>680.43795084227986</v>
      </c>
      <c r="AJ61" s="369">
        <f t="shared" si="4"/>
        <v>673.16628338059581</v>
      </c>
      <c r="AK61" s="376">
        <f t="shared" si="2"/>
        <v>0.50814149338668713</v>
      </c>
    </row>
    <row r="62" spans="2:37" ht="13.5" thickBot="1" x14ac:dyDescent="0.25">
      <c r="B62" s="542"/>
      <c r="C62" s="370" t="s">
        <v>1934</v>
      </c>
      <c r="D62" s="371">
        <f t="shared" si="4"/>
        <v>1565.881911152549</v>
      </c>
      <c r="E62" s="371">
        <f t="shared" si="4"/>
        <v>1375.3776789225374</v>
      </c>
      <c r="F62" s="371">
        <f t="shared" si="4"/>
        <v>1359.1938040594632</v>
      </c>
      <c r="G62" s="371">
        <f t="shared" si="4"/>
        <v>1343.0099291963893</v>
      </c>
      <c r="H62" s="371">
        <f t="shared" si="4"/>
        <v>1326.8260543333151</v>
      </c>
      <c r="I62" s="371">
        <f t="shared" si="4"/>
        <v>1310.6421794702412</v>
      </c>
      <c r="J62" s="371">
        <f t="shared" si="4"/>
        <v>1294.4583046071671</v>
      </c>
      <c r="K62" s="371">
        <f t="shared" si="4"/>
        <v>1278.2744297440931</v>
      </c>
      <c r="L62" s="371">
        <f t="shared" si="4"/>
        <v>1262.090554881019</v>
      </c>
      <c r="M62" s="371">
        <f t="shared" si="4"/>
        <v>1245.9066800179451</v>
      </c>
      <c r="N62" s="371">
        <f t="shared" si="4"/>
        <v>1229.7228051548709</v>
      </c>
      <c r="O62" s="371">
        <f t="shared" si="4"/>
        <v>1213.538930291797</v>
      </c>
      <c r="P62" s="371">
        <f t="shared" si="4"/>
        <v>1197.3550554287217</v>
      </c>
      <c r="Q62" s="371">
        <f t="shared" si="4"/>
        <v>1178.417284288</v>
      </c>
      <c r="R62" s="371">
        <f t="shared" si="4"/>
        <v>1159.4795131472783</v>
      </c>
      <c r="S62" s="371">
        <f t="shared" si="4"/>
        <v>1140.5417420065567</v>
      </c>
      <c r="T62" s="371">
        <f t="shared" si="4"/>
        <v>1121.603970865835</v>
      </c>
      <c r="U62" s="371">
        <f t="shared" si="4"/>
        <v>1102.6661997251133</v>
      </c>
      <c r="V62" s="371">
        <f t="shared" si="4"/>
        <v>1083.7284285843916</v>
      </c>
      <c r="W62" s="371">
        <f t="shared" si="4"/>
        <v>1064.7906574436699</v>
      </c>
      <c r="X62" s="371">
        <f t="shared" si="4"/>
        <v>1045.852886302948</v>
      </c>
      <c r="Y62" s="371">
        <f t="shared" si="4"/>
        <v>1026.9151151622264</v>
      </c>
      <c r="Z62" s="371">
        <f t="shared" si="4"/>
        <v>1007.9773440215048</v>
      </c>
      <c r="AA62" s="371">
        <f t="shared" si="4"/>
        <v>989.03957288078311</v>
      </c>
      <c r="AB62" s="371">
        <f t="shared" si="4"/>
        <v>970.10180174006155</v>
      </c>
      <c r="AC62" s="371">
        <f t="shared" si="4"/>
        <v>951.16403059933998</v>
      </c>
      <c r="AD62" s="371">
        <f t="shared" si="4"/>
        <v>932.22625945861842</v>
      </c>
      <c r="AE62" s="371">
        <f t="shared" si="4"/>
        <v>913.28848831789674</v>
      </c>
      <c r="AF62" s="371">
        <f t="shared" si="4"/>
        <v>894.35071717717517</v>
      </c>
      <c r="AG62" s="371">
        <f t="shared" si="4"/>
        <v>875.4129460364536</v>
      </c>
      <c r="AH62" s="371">
        <f t="shared" si="4"/>
        <v>856.47517489573204</v>
      </c>
      <c r="AI62" s="371">
        <f t="shared" si="4"/>
        <v>837.53740375501036</v>
      </c>
      <c r="AJ62" s="371">
        <f t="shared" si="4"/>
        <v>818.5996326142897</v>
      </c>
      <c r="AK62" s="376">
        <f t="shared" si="2"/>
        <v>0.60226851400396531</v>
      </c>
    </row>
    <row r="63" spans="2:37" ht="13.5" thickTop="1" x14ac:dyDescent="0.2">
      <c r="B63" s="542"/>
      <c r="C63" s="366" t="s">
        <v>1935</v>
      </c>
      <c r="D63" s="367">
        <f t="shared" si="4"/>
        <v>1565.881911152549</v>
      </c>
      <c r="E63" s="367">
        <f t="shared" si="4"/>
        <v>1375.3776789225374</v>
      </c>
      <c r="F63" s="367">
        <f t="shared" si="4"/>
        <v>1311.5402793278154</v>
      </c>
      <c r="G63" s="367">
        <f t="shared" si="4"/>
        <v>1247.7028797330936</v>
      </c>
      <c r="H63" s="367">
        <f t="shared" si="4"/>
        <v>1183.8654801383716</v>
      </c>
      <c r="I63" s="367">
        <f t="shared" si="4"/>
        <v>1120.0280805436498</v>
      </c>
      <c r="J63" s="367">
        <f t="shared" si="4"/>
        <v>1056.1906809489278</v>
      </c>
      <c r="K63" s="367">
        <f t="shared" si="4"/>
        <v>992.35328135420593</v>
      </c>
      <c r="L63" s="367">
        <f t="shared" si="4"/>
        <v>928.51588175948405</v>
      </c>
      <c r="M63" s="367">
        <f t="shared" si="4"/>
        <v>864.67848216476216</v>
      </c>
      <c r="N63" s="367">
        <f t="shared" si="4"/>
        <v>800.84108257004027</v>
      </c>
      <c r="O63" s="367">
        <f t="shared" si="4"/>
        <v>737.00368297531838</v>
      </c>
      <c r="P63" s="367">
        <f t="shared" si="4"/>
        <v>673.16628338059581</v>
      </c>
      <c r="Q63" s="367">
        <f t="shared" si="4"/>
        <v>664.83642929418932</v>
      </c>
      <c r="R63" s="367">
        <f t="shared" si="4"/>
        <v>656.50657520778282</v>
      </c>
      <c r="S63" s="367">
        <f t="shared" si="4"/>
        <v>648.1767211213762</v>
      </c>
      <c r="T63" s="367">
        <f t="shared" si="4"/>
        <v>639.8468670349697</v>
      </c>
      <c r="U63" s="367">
        <f t="shared" si="4"/>
        <v>631.51701294856321</v>
      </c>
      <c r="V63" s="367">
        <f t="shared" si="4"/>
        <v>623.18715886215671</v>
      </c>
      <c r="W63" s="367">
        <f t="shared" si="4"/>
        <v>614.85730477575021</v>
      </c>
      <c r="X63" s="367">
        <f t="shared" si="4"/>
        <v>606.52745068934371</v>
      </c>
      <c r="Y63" s="367">
        <f t="shared" si="4"/>
        <v>598.1975966029371</v>
      </c>
      <c r="Z63" s="367">
        <f t="shared" si="4"/>
        <v>589.8677425165306</v>
      </c>
      <c r="AA63" s="367">
        <f t="shared" si="4"/>
        <v>581.5378884301241</v>
      </c>
      <c r="AB63" s="367">
        <f t="shared" si="4"/>
        <v>573.2080343437176</v>
      </c>
      <c r="AC63" s="367">
        <f t="shared" si="4"/>
        <v>564.8781802573111</v>
      </c>
      <c r="AD63" s="367">
        <f t="shared" si="4"/>
        <v>556.5483261709046</v>
      </c>
      <c r="AE63" s="367">
        <f t="shared" si="4"/>
        <v>548.21847208449799</v>
      </c>
      <c r="AF63" s="367">
        <f t="shared" si="4"/>
        <v>539.88861799809149</v>
      </c>
      <c r="AG63" s="367">
        <f t="shared" si="4"/>
        <v>531.55876391168499</v>
      </c>
      <c r="AH63" s="367">
        <f t="shared" si="4"/>
        <v>523.22890982527849</v>
      </c>
      <c r="AI63" s="367">
        <f t="shared" si="4"/>
        <v>514.89905573887199</v>
      </c>
      <c r="AJ63" s="367">
        <f t="shared" si="4"/>
        <v>506.56920165246623</v>
      </c>
      <c r="AK63" s="376">
        <f t="shared" si="2"/>
        <v>0.3862399116800978</v>
      </c>
    </row>
    <row r="64" spans="2:37" x14ac:dyDescent="0.2">
      <c r="B64" s="542"/>
      <c r="C64" s="368" t="s">
        <v>1936</v>
      </c>
      <c r="D64" s="369">
        <f t="shared" si="4"/>
        <v>1565.881911152549</v>
      </c>
      <c r="E64" s="369">
        <f t="shared" si="4"/>
        <v>1375.3776789225374</v>
      </c>
      <c r="F64" s="369">
        <f t="shared" si="4"/>
        <v>1324.7614928945147</v>
      </c>
      <c r="G64" s="369">
        <f t="shared" si="4"/>
        <v>1274.1453068664923</v>
      </c>
      <c r="H64" s="369">
        <f t="shared" si="4"/>
        <v>1223.5291208384697</v>
      </c>
      <c r="I64" s="369">
        <f t="shared" si="4"/>
        <v>1172.9129348104473</v>
      </c>
      <c r="J64" s="369">
        <f t="shared" si="4"/>
        <v>1122.2967487824246</v>
      </c>
      <c r="K64" s="369">
        <f t="shared" si="4"/>
        <v>1071.6805627544022</v>
      </c>
      <c r="L64" s="369">
        <f t="shared" si="4"/>
        <v>1021.0643767263796</v>
      </c>
      <c r="M64" s="369">
        <f t="shared" si="4"/>
        <v>970.44819069835705</v>
      </c>
      <c r="N64" s="369">
        <f t="shared" si="4"/>
        <v>919.83200467033453</v>
      </c>
      <c r="O64" s="369">
        <f t="shared" si="4"/>
        <v>869.215818642312</v>
      </c>
      <c r="P64" s="369">
        <f t="shared" si="4"/>
        <v>818.5996326142897</v>
      </c>
      <c r="Q64" s="369">
        <f t="shared" si="4"/>
        <v>811.32796515260497</v>
      </c>
      <c r="R64" s="369">
        <f t="shared" si="4"/>
        <v>804.05629769092025</v>
      </c>
      <c r="S64" s="369">
        <f t="shared" si="4"/>
        <v>796.78463022923552</v>
      </c>
      <c r="T64" s="369">
        <f t="shared" si="4"/>
        <v>789.51296276755079</v>
      </c>
      <c r="U64" s="369">
        <f t="shared" si="4"/>
        <v>782.24129530586606</v>
      </c>
      <c r="V64" s="369">
        <f t="shared" si="4"/>
        <v>774.96962784418133</v>
      </c>
      <c r="W64" s="369">
        <f t="shared" si="4"/>
        <v>767.6979603824966</v>
      </c>
      <c r="X64" s="369">
        <f t="shared" si="4"/>
        <v>760.42629292081187</v>
      </c>
      <c r="Y64" s="369">
        <f t="shared" si="4"/>
        <v>753.15462545912715</v>
      </c>
      <c r="Z64" s="369">
        <f t="shared" si="4"/>
        <v>745.88295799744242</v>
      </c>
      <c r="AA64" s="369">
        <f t="shared" si="4"/>
        <v>738.61129053575769</v>
      </c>
      <c r="AB64" s="369">
        <f t="shared" si="4"/>
        <v>731.33962307407296</v>
      </c>
      <c r="AC64" s="369">
        <f t="shared" si="4"/>
        <v>724.06795561238823</v>
      </c>
      <c r="AD64" s="369">
        <f t="shared" si="4"/>
        <v>716.7962881507035</v>
      </c>
      <c r="AE64" s="369">
        <f t="shared" si="4"/>
        <v>709.52462068901878</v>
      </c>
      <c r="AF64" s="369">
        <f t="shared" si="4"/>
        <v>702.25295322733405</v>
      </c>
      <c r="AG64" s="369">
        <f t="shared" si="4"/>
        <v>694.98128576564932</v>
      </c>
      <c r="AH64" s="369">
        <f t="shared" si="4"/>
        <v>687.70961830396459</v>
      </c>
      <c r="AI64" s="369">
        <f t="shared" si="4"/>
        <v>680.43795084227986</v>
      </c>
      <c r="AJ64" s="369">
        <f t="shared" si="4"/>
        <v>673.16628338059581</v>
      </c>
      <c r="AK64" s="376">
        <f t="shared" si="2"/>
        <v>0.50814149338668713</v>
      </c>
    </row>
    <row r="65" spans="2:37" ht="13.5" thickBot="1" x14ac:dyDescent="0.25">
      <c r="B65" s="542"/>
      <c r="C65" s="370" t="s">
        <v>1937</v>
      </c>
      <c r="D65" s="371">
        <f t="shared" si="4"/>
        <v>1565.881911152549</v>
      </c>
      <c r="E65" s="371">
        <f t="shared" si="4"/>
        <v>1375.3776789225374</v>
      </c>
      <c r="F65" s="371">
        <f t="shared" si="4"/>
        <v>1359.1938040594632</v>
      </c>
      <c r="G65" s="371">
        <f t="shared" si="4"/>
        <v>1343.0099291963893</v>
      </c>
      <c r="H65" s="371">
        <f t="shared" si="4"/>
        <v>1326.8260543333151</v>
      </c>
      <c r="I65" s="371">
        <f t="shared" si="4"/>
        <v>1310.6421794702412</v>
      </c>
      <c r="J65" s="371">
        <f t="shared" si="4"/>
        <v>1294.4583046071671</v>
      </c>
      <c r="K65" s="371">
        <f t="shared" si="4"/>
        <v>1278.2744297440931</v>
      </c>
      <c r="L65" s="371">
        <f t="shared" si="4"/>
        <v>1262.090554881019</v>
      </c>
      <c r="M65" s="371">
        <f t="shared" si="4"/>
        <v>1245.9066800179451</v>
      </c>
      <c r="N65" s="371">
        <f t="shared" si="4"/>
        <v>1229.7228051548709</v>
      </c>
      <c r="O65" s="371">
        <f t="shared" si="4"/>
        <v>1213.538930291797</v>
      </c>
      <c r="P65" s="371">
        <f t="shared" si="4"/>
        <v>1197.3550554287217</v>
      </c>
      <c r="Q65" s="371">
        <f t="shared" si="4"/>
        <v>1178.417284288</v>
      </c>
      <c r="R65" s="371">
        <f t="shared" si="4"/>
        <v>1159.4795131472783</v>
      </c>
      <c r="S65" s="371">
        <f t="shared" si="4"/>
        <v>1140.5417420065567</v>
      </c>
      <c r="T65" s="371">
        <f t="shared" si="4"/>
        <v>1121.603970865835</v>
      </c>
      <c r="U65" s="371">
        <f t="shared" si="4"/>
        <v>1102.6661997251133</v>
      </c>
      <c r="V65" s="371">
        <f t="shared" si="4"/>
        <v>1083.7284285843916</v>
      </c>
      <c r="W65" s="371">
        <f t="shared" si="4"/>
        <v>1064.7906574436699</v>
      </c>
      <c r="X65" s="371">
        <f t="shared" si="4"/>
        <v>1045.852886302948</v>
      </c>
      <c r="Y65" s="371">
        <f t="shared" si="4"/>
        <v>1026.9151151622264</v>
      </c>
      <c r="Z65" s="371">
        <f t="shared" si="4"/>
        <v>1007.9773440215048</v>
      </c>
      <c r="AA65" s="371">
        <f t="shared" si="4"/>
        <v>989.03957288078311</v>
      </c>
      <c r="AB65" s="371">
        <f t="shared" ref="AB65:AJ65" si="5">AB62</f>
        <v>970.10180174006155</v>
      </c>
      <c r="AC65" s="371">
        <f t="shared" si="5"/>
        <v>951.16403059933998</v>
      </c>
      <c r="AD65" s="371">
        <f t="shared" si="5"/>
        <v>932.22625945861842</v>
      </c>
      <c r="AE65" s="371">
        <f t="shared" si="5"/>
        <v>913.28848831789674</v>
      </c>
      <c r="AF65" s="371">
        <f t="shared" si="5"/>
        <v>894.35071717717517</v>
      </c>
      <c r="AG65" s="371">
        <f t="shared" si="5"/>
        <v>875.4129460364536</v>
      </c>
      <c r="AH65" s="371">
        <f t="shared" si="5"/>
        <v>856.47517489573204</v>
      </c>
      <c r="AI65" s="371">
        <f t="shared" si="5"/>
        <v>837.53740375501036</v>
      </c>
      <c r="AJ65" s="371">
        <f t="shared" si="5"/>
        <v>818.5996326142897</v>
      </c>
      <c r="AK65" s="376">
        <f t="shared" si="2"/>
        <v>0.60226851400396531</v>
      </c>
    </row>
    <row r="66" spans="2:37" ht="13.5" thickTop="1" x14ac:dyDescent="0.2">
      <c r="B66" s="542"/>
      <c r="C66" s="366" t="s">
        <v>1938</v>
      </c>
      <c r="D66" s="367">
        <f t="shared" ref="D66:AJ68" si="6">D63</f>
        <v>1565.881911152549</v>
      </c>
      <c r="E66" s="367">
        <f t="shared" si="6"/>
        <v>1375.3776789225374</v>
      </c>
      <c r="F66" s="367">
        <f t="shared" si="6"/>
        <v>1311.5402793278154</v>
      </c>
      <c r="G66" s="367">
        <f t="shared" si="6"/>
        <v>1247.7028797330936</v>
      </c>
      <c r="H66" s="367">
        <f t="shared" si="6"/>
        <v>1183.8654801383716</v>
      </c>
      <c r="I66" s="367">
        <f t="shared" si="6"/>
        <v>1120.0280805436498</v>
      </c>
      <c r="J66" s="367">
        <f t="shared" si="6"/>
        <v>1056.1906809489278</v>
      </c>
      <c r="K66" s="367">
        <f t="shared" si="6"/>
        <v>992.35328135420593</v>
      </c>
      <c r="L66" s="367">
        <f t="shared" si="6"/>
        <v>928.51588175948405</v>
      </c>
      <c r="M66" s="367">
        <f t="shared" si="6"/>
        <v>864.67848216476216</v>
      </c>
      <c r="N66" s="367">
        <f t="shared" si="6"/>
        <v>800.84108257004027</v>
      </c>
      <c r="O66" s="367">
        <f t="shared" si="6"/>
        <v>737.00368297531838</v>
      </c>
      <c r="P66" s="367">
        <f t="shared" si="6"/>
        <v>673.16628338059581</v>
      </c>
      <c r="Q66" s="367">
        <f t="shared" si="6"/>
        <v>664.83642929418932</v>
      </c>
      <c r="R66" s="367">
        <f t="shared" si="6"/>
        <v>656.50657520778282</v>
      </c>
      <c r="S66" s="367">
        <f t="shared" si="6"/>
        <v>648.1767211213762</v>
      </c>
      <c r="T66" s="367">
        <f t="shared" si="6"/>
        <v>639.8468670349697</v>
      </c>
      <c r="U66" s="367">
        <f t="shared" si="6"/>
        <v>631.51701294856321</v>
      </c>
      <c r="V66" s="367">
        <f t="shared" si="6"/>
        <v>623.18715886215671</v>
      </c>
      <c r="W66" s="367">
        <f t="shared" si="6"/>
        <v>614.85730477575021</v>
      </c>
      <c r="X66" s="367">
        <f t="shared" si="6"/>
        <v>606.52745068934371</v>
      </c>
      <c r="Y66" s="367">
        <f t="shared" si="6"/>
        <v>598.1975966029371</v>
      </c>
      <c r="Z66" s="367">
        <f t="shared" si="6"/>
        <v>589.8677425165306</v>
      </c>
      <c r="AA66" s="367">
        <f t="shared" si="6"/>
        <v>581.5378884301241</v>
      </c>
      <c r="AB66" s="367">
        <f t="shared" si="6"/>
        <v>573.2080343437176</v>
      </c>
      <c r="AC66" s="367">
        <f t="shared" si="6"/>
        <v>564.8781802573111</v>
      </c>
      <c r="AD66" s="367">
        <f t="shared" si="6"/>
        <v>556.5483261709046</v>
      </c>
      <c r="AE66" s="367">
        <f t="shared" si="6"/>
        <v>548.21847208449799</v>
      </c>
      <c r="AF66" s="367">
        <f t="shared" si="6"/>
        <v>539.88861799809149</v>
      </c>
      <c r="AG66" s="367">
        <f t="shared" si="6"/>
        <v>531.55876391168499</v>
      </c>
      <c r="AH66" s="367">
        <f t="shared" si="6"/>
        <v>523.22890982527849</v>
      </c>
      <c r="AI66" s="367">
        <f t="shared" si="6"/>
        <v>514.89905573887199</v>
      </c>
      <c r="AJ66" s="367">
        <f t="shared" si="6"/>
        <v>506.56920165246623</v>
      </c>
      <c r="AK66" s="376">
        <f t="shared" si="2"/>
        <v>0.3862399116800978</v>
      </c>
    </row>
    <row r="67" spans="2:37" x14ac:dyDescent="0.2">
      <c r="B67" s="542"/>
      <c r="C67" s="368" t="s">
        <v>1939</v>
      </c>
      <c r="D67" s="369">
        <f t="shared" si="6"/>
        <v>1565.881911152549</v>
      </c>
      <c r="E67" s="369">
        <f t="shared" si="6"/>
        <v>1375.3776789225374</v>
      </c>
      <c r="F67" s="369">
        <f t="shared" si="6"/>
        <v>1324.7614928945147</v>
      </c>
      <c r="G67" s="369">
        <f t="shared" si="6"/>
        <v>1274.1453068664923</v>
      </c>
      <c r="H67" s="369">
        <f t="shared" si="6"/>
        <v>1223.5291208384697</v>
      </c>
      <c r="I67" s="369">
        <f t="shared" si="6"/>
        <v>1172.9129348104473</v>
      </c>
      <c r="J67" s="369">
        <f t="shared" si="6"/>
        <v>1122.2967487824246</v>
      </c>
      <c r="K67" s="369">
        <f t="shared" si="6"/>
        <v>1071.6805627544022</v>
      </c>
      <c r="L67" s="369">
        <f t="shared" si="6"/>
        <v>1021.0643767263796</v>
      </c>
      <c r="M67" s="369">
        <f t="shared" si="6"/>
        <v>970.44819069835705</v>
      </c>
      <c r="N67" s="369">
        <f t="shared" si="6"/>
        <v>919.83200467033453</v>
      </c>
      <c r="O67" s="369">
        <f t="shared" si="6"/>
        <v>869.215818642312</v>
      </c>
      <c r="P67" s="369">
        <f t="shared" si="6"/>
        <v>818.5996326142897</v>
      </c>
      <c r="Q67" s="369">
        <f t="shared" si="6"/>
        <v>811.32796515260497</v>
      </c>
      <c r="R67" s="369">
        <f t="shared" si="6"/>
        <v>804.05629769092025</v>
      </c>
      <c r="S67" s="369">
        <f t="shared" si="6"/>
        <v>796.78463022923552</v>
      </c>
      <c r="T67" s="369">
        <f t="shared" si="6"/>
        <v>789.51296276755079</v>
      </c>
      <c r="U67" s="369">
        <f t="shared" si="6"/>
        <v>782.24129530586606</v>
      </c>
      <c r="V67" s="369">
        <f t="shared" si="6"/>
        <v>774.96962784418133</v>
      </c>
      <c r="W67" s="369">
        <f t="shared" si="6"/>
        <v>767.6979603824966</v>
      </c>
      <c r="X67" s="369">
        <f t="shared" si="6"/>
        <v>760.42629292081187</v>
      </c>
      <c r="Y67" s="369">
        <f t="shared" si="6"/>
        <v>753.15462545912715</v>
      </c>
      <c r="Z67" s="369">
        <f t="shared" si="6"/>
        <v>745.88295799744242</v>
      </c>
      <c r="AA67" s="369">
        <f t="shared" si="6"/>
        <v>738.61129053575769</v>
      </c>
      <c r="AB67" s="369">
        <f t="shared" si="6"/>
        <v>731.33962307407296</v>
      </c>
      <c r="AC67" s="369">
        <f t="shared" si="6"/>
        <v>724.06795561238823</v>
      </c>
      <c r="AD67" s="369">
        <f t="shared" si="6"/>
        <v>716.7962881507035</v>
      </c>
      <c r="AE67" s="369">
        <f t="shared" si="6"/>
        <v>709.52462068901878</v>
      </c>
      <c r="AF67" s="369">
        <f t="shared" si="6"/>
        <v>702.25295322733405</v>
      </c>
      <c r="AG67" s="369">
        <f t="shared" si="6"/>
        <v>694.98128576564932</v>
      </c>
      <c r="AH67" s="369">
        <f t="shared" si="6"/>
        <v>687.70961830396459</v>
      </c>
      <c r="AI67" s="369">
        <f t="shared" si="6"/>
        <v>680.43795084227986</v>
      </c>
      <c r="AJ67" s="369">
        <f t="shared" si="6"/>
        <v>673.16628338059581</v>
      </c>
      <c r="AK67" s="376">
        <f t="shared" si="2"/>
        <v>0.50814149338668713</v>
      </c>
    </row>
    <row r="68" spans="2:37" ht="13.5" thickBot="1" x14ac:dyDescent="0.25">
      <c r="B68" s="543"/>
      <c r="C68" s="370" t="s">
        <v>1940</v>
      </c>
      <c r="D68" s="371">
        <f t="shared" si="6"/>
        <v>1565.881911152549</v>
      </c>
      <c r="E68" s="371">
        <f t="shared" si="6"/>
        <v>1375.3776789225374</v>
      </c>
      <c r="F68" s="371">
        <f t="shared" si="6"/>
        <v>1359.1938040594632</v>
      </c>
      <c r="G68" s="371">
        <f t="shared" si="6"/>
        <v>1343.0099291963893</v>
      </c>
      <c r="H68" s="371">
        <f t="shared" si="6"/>
        <v>1326.8260543333151</v>
      </c>
      <c r="I68" s="371">
        <f t="shared" si="6"/>
        <v>1310.6421794702412</v>
      </c>
      <c r="J68" s="371">
        <f t="shared" si="6"/>
        <v>1294.4583046071671</v>
      </c>
      <c r="K68" s="371">
        <f t="shared" si="6"/>
        <v>1278.2744297440931</v>
      </c>
      <c r="L68" s="371">
        <f t="shared" si="6"/>
        <v>1262.090554881019</v>
      </c>
      <c r="M68" s="371">
        <f t="shared" si="6"/>
        <v>1245.9066800179451</v>
      </c>
      <c r="N68" s="371">
        <f t="shared" si="6"/>
        <v>1229.7228051548709</v>
      </c>
      <c r="O68" s="371">
        <f t="shared" si="6"/>
        <v>1213.538930291797</v>
      </c>
      <c r="P68" s="371">
        <f t="shared" si="6"/>
        <v>1197.3550554287217</v>
      </c>
      <c r="Q68" s="371">
        <f t="shared" si="6"/>
        <v>1178.417284288</v>
      </c>
      <c r="R68" s="371">
        <f t="shared" si="6"/>
        <v>1159.4795131472783</v>
      </c>
      <c r="S68" s="371">
        <f t="shared" si="6"/>
        <v>1140.5417420065567</v>
      </c>
      <c r="T68" s="371">
        <f t="shared" si="6"/>
        <v>1121.603970865835</v>
      </c>
      <c r="U68" s="371">
        <f t="shared" si="6"/>
        <v>1102.6661997251133</v>
      </c>
      <c r="V68" s="371">
        <f t="shared" si="6"/>
        <v>1083.7284285843916</v>
      </c>
      <c r="W68" s="371">
        <f t="shared" si="6"/>
        <v>1064.7906574436699</v>
      </c>
      <c r="X68" s="371">
        <f t="shared" si="6"/>
        <v>1045.852886302948</v>
      </c>
      <c r="Y68" s="371">
        <f t="shared" si="6"/>
        <v>1026.9151151622264</v>
      </c>
      <c r="Z68" s="371">
        <f t="shared" si="6"/>
        <v>1007.9773440215048</v>
      </c>
      <c r="AA68" s="371">
        <f t="shared" si="6"/>
        <v>989.03957288078311</v>
      </c>
      <c r="AB68" s="371">
        <f t="shared" si="6"/>
        <v>970.10180174006155</v>
      </c>
      <c r="AC68" s="371">
        <f t="shared" si="6"/>
        <v>951.16403059933998</v>
      </c>
      <c r="AD68" s="371">
        <f t="shared" si="6"/>
        <v>932.22625945861842</v>
      </c>
      <c r="AE68" s="371">
        <f t="shared" si="6"/>
        <v>913.28848831789674</v>
      </c>
      <c r="AF68" s="371">
        <f t="shared" si="6"/>
        <v>894.35071717717517</v>
      </c>
      <c r="AG68" s="371">
        <f t="shared" si="6"/>
        <v>875.4129460364536</v>
      </c>
      <c r="AH68" s="371">
        <f t="shared" si="6"/>
        <v>856.47517489573204</v>
      </c>
      <c r="AI68" s="371">
        <f t="shared" si="6"/>
        <v>837.53740375501036</v>
      </c>
      <c r="AJ68" s="371">
        <f t="shared" si="6"/>
        <v>818.5996326142897</v>
      </c>
      <c r="AK68" s="376">
        <f t="shared" si="2"/>
        <v>0.60226851400396531</v>
      </c>
    </row>
    <row r="69" spans="2:37" ht="13.5" thickTop="1" x14ac:dyDescent="0.2">
      <c r="C69" t="s">
        <v>2496</v>
      </c>
    </row>
    <row r="70" spans="2:37" ht="13.5" thickBot="1" x14ac:dyDescent="0.25">
      <c r="B70" t="s">
        <v>2493</v>
      </c>
      <c r="D70" s="372">
        <f>MAX(D54:D68)</f>
        <v>1565.881911152549</v>
      </c>
      <c r="E70" s="372">
        <f t="shared" ref="E70:F70" si="7">MAX(E54:E68)</f>
        <v>1375.3776789225374</v>
      </c>
      <c r="F70" s="372">
        <f t="shared" si="7"/>
        <v>1359.1938040594632</v>
      </c>
      <c r="G70" s="504">
        <v>1290.8062682686857</v>
      </c>
      <c r="H70" s="504">
        <v>1373.1981577326442</v>
      </c>
      <c r="I70" s="504">
        <v>1352.2929183600088</v>
      </c>
      <c r="J70" s="504">
        <v>1331.3876789873734</v>
      </c>
      <c r="K70" s="504">
        <v>1310.4824396147383</v>
      </c>
      <c r="L70" s="504">
        <v>1289.5772002421029</v>
      </c>
      <c r="M70" s="504">
        <v>1268.6719608694677</v>
      </c>
      <c r="N70" s="504">
        <v>1247.7667214968324</v>
      </c>
      <c r="O70" s="504">
        <v>1226.8614821241972</v>
      </c>
      <c r="P70" s="504">
        <v>1205.9562427515618</v>
      </c>
      <c r="Q70" s="504">
        <v>1185.0510033789265</v>
      </c>
      <c r="R70" s="504">
        <v>1164.1457640062911</v>
      </c>
      <c r="S70" s="504">
        <v>1143.2405246336557</v>
      </c>
      <c r="T70" s="504">
        <v>1122.3352852610205</v>
      </c>
      <c r="U70" s="504">
        <v>1101.4300458883845</v>
      </c>
      <c r="V70" s="504">
        <v>1083.281932314994</v>
      </c>
      <c r="W70" s="504">
        <v>1065.1338187416036</v>
      </c>
      <c r="X70" s="504">
        <v>1046.9857051682129</v>
      </c>
      <c r="Y70" s="504">
        <v>1028.8375915948225</v>
      </c>
      <c r="Z70" s="504">
        <v>1010.6894780214318</v>
      </c>
      <c r="AA70" s="504">
        <v>992.54136444804124</v>
      </c>
      <c r="AB70" s="504">
        <v>974.39325087465056</v>
      </c>
      <c r="AC70" s="504">
        <v>956.24513730126012</v>
      </c>
      <c r="AD70" s="504">
        <v>938.09702372786955</v>
      </c>
      <c r="AE70" s="504">
        <v>919.94891015447888</v>
      </c>
      <c r="AF70" s="504">
        <v>901.80079658108832</v>
      </c>
      <c r="AG70" s="504">
        <v>883.65268300769787</v>
      </c>
      <c r="AH70" s="504">
        <v>865.5045694343072</v>
      </c>
      <c r="AI70" s="504">
        <v>847.35645586091664</v>
      </c>
      <c r="AJ70" s="504">
        <v>829.20834228752562</v>
      </c>
      <c r="AK70" s="376">
        <f t="shared" si="2"/>
        <v>0.61007366264542562</v>
      </c>
    </row>
    <row r="71" spans="2:37" ht="13.5" thickTop="1" x14ac:dyDescent="0.2">
      <c r="B71" t="s">
        <v>2494</v>
      </c>
      <c r="D71" s="372">
        <f>AVERAGE(D54:D68)</f>
        <v>1565.8819111525486</v>
      </c>
      <c r="E71" s="372">
        <f t="shared" ref="E71:F71" si="8">AVERAGE(E54:E68)</f>
        <v>1375.3776789225374</v>
      </c>
      <c r="F71" s="372">
        <f t="shared" si="8"/>
        <v>1331.8318587605977</v>
      </c>
      <c r="G71" s="503">
        <v>1290.8062682686857</v>
      </c>
      <c r="H71" s="503">
        <v>1373.1981577326442</v>
      </c>
      <c r="I71" s="503">
        <v>1331.3527873137889</v>
      </c>
      <c r="J71" s="503">
        <v>1289.5074168949341</v>
      </c>
      <c r="K71" s="503">
        <v>1247.6620464760786</v>
      </c>
      <c r="L71" s="503">
        <v>1205.8166760572233</v>
      </c>
      <c r="M71" s="503">
        <v>1163.9713056383682</v>
      </c>
      <c r="N71" s="503">
        <v>1122.1259352195129</v>
      </c>
      <c r="O71" s="503">
        <v>1080.2805648006577</v>
      </c>
      <c r="P71" s="503">
        <v>1038.4351943818024</v>
      </c>
      <c r="Q71" s="503">
        <v>996.58982396294721</v>
      </c>
      <c r="R71" s="503">
        <v>954.74445354409204</v>
      </c>
      <c r="S71" s="503">
        <v>912.89908312523676</v>
      </c>
      <c r="T71" s="503">
        <v>871.05371270638148</v>
      </c>
      <c r="U71" s="503">
        <v>829.20834228752562</v>
      </c>
      <c r="V71" s="503">
        <v>816.09242237332262</v>
      </c>
      <c r="W71" s="503">
        <v>802.97650245911973</v>
      </c>
      <c r="X71" s="503">
        <v>789.86058254491684</v>
      </c>
      <c r="Y71" s="503">
        <v>776.74466263071395</v>
      </c>
      <c r="Z71" s="503">
        <v>763.62874271651094</v>
      </c>
      <c r="AA71" s="503">
        <v>750.51282280230805</v>
      </c>
      <c r="AB71" s="503">
        <v>737.39690288810516</v>
      </c>
      <c r="AC71" s="503">
        <v>724.28098297390216</v>
      </c>
      <c r="AD71" s="503">
        <v>711.16506305969938</v>
      </c>
      <c r="AE71" s="503">
        <v>698.04914314549637</v>
      </c>
      <c r="AF71" s="503">
        <v>684.93322323129348</v>
      </c>
      <c r="AG71" s="503">
        <v>671.81730331709059</v>
      </c>
      <c r="AH71" s="503">
        <v>658.70138340288759</v>
      </c>
      <c r="AI71" s="503">
        <v>645.58546348868481</v>
      </c>
      <c r="AJ71" s="503">
        <v>632.46954357448169</v>
      </c>
      <c r="AK71" s="376">
        <f t="shared" si="2"/>
        <v>0.47488693066935467</v>
      </c>
    </row>
    <row r="72" spans="2:37" x14ac:dyDescent="0.2">
      <c r="B72" t="s">
        <v>2495</v>
      </c>
      <c r="D72" s="372">
        <f>MIN(D54:D68)</f>
        <v>1565.881911152549</v>
      </c>
      <c r="E72" s="372">
        <f t="shared" ref="E72:F72" si="9">MIN(E54:E68)</f>
        <v>1375.3776789225374</v>
      </c>
      <c r="F72" s="372">
        <f t="shared" si="9"/>
        <v>1311.5402793278154</v>
      </c>
      <c r="G72" s="502">
        <v>1290.8062682686857</v>
      </c>
      <c r="H72" s="502">
        <v>1373.1981577326442</v>
      </c>
      <c r="I72" s="502">
        <v>1316.2190335666319</v>
      </c>
      <c r="J72" s="502">
        <v>1259.2399094006194</v>
      </c>
      <c r="K72" s="502">
        <v>1202.2607852346068</v>
      </c>
      <c r="L72" s="502">
        <v>1145.2816610685943</v>
      </c>
      <c r="M72" s="502">
        <v>1088.3025369025818</v>
      </c>
      <c r="N72" s="502">
        <v>1031.3234127365695</v>
      </c>
      <c r="O72" s="502">
        <v>974.34428857055696</v>
      </c>
      <c r="P72" s="502">
        <v>917.36516440454443</v>
      </c>
      <c r="Q72" s="502">
        <v>860.38604023853202</v>
      </c>
      <c r="R72" s="502">
        <v>803.40691607251949</v>
      </c>
      <c r="S72" s="502">
        <v>746.42779190650708</v>
      </c>
      <c r="T72" s="502">
        <v>689.44866774049456</v>
      </c>
      <c r="U72" s="502">
        <v>632.46954357448169</v>
      </c>
      <c r="V72" s="502">
        <v>625.04005636870511</v>
      </c>
      <c r="W72" s="502">
        <v>617.61056916292853</v>
      </c>
      <c r="X72" s="502">
        <v>610.18108195715195</v>
      </c>
      <c r="Y72" s="502">
        <v>602.75159475137548</v>
      </c>
      <c r="Z72" s="502">
        <v>595.32210754559878</v>
      </c>
      <c r="AA72" s="502">
        <v>587.89262033982232</v>
      </c>
      <c r="AB72" s="502">
        <v>580.46313313404573</v>
      </c>
      <c r="AC72" s="502">
        <v>573.03364592826892</v>
      </c>
      <c r="AD72" s="502">
        <v>565.60415872249246</v>
      </c>
      <c r="AE72" s="502">
        <v>558.17467151671576</v>
      </c>
      <c r="AF72" s="502">
        <v>550.74518431093929</v>
      </c>
      <c r="AG72" s="502">
        <v>543.31569710516271</v>
      </c>
      <c r="AH72" s="502">
        <v>535.88620989938613</v>
      </c>
      <c r="AI72" s="502">
        <v>528.45672269360955</v>
      </c>
      <c r="AJ72" s="502">
        <v>521.0272354878324</v>
      </c>
      <c r="AK72" s="376">
        <f t="shared" si="2"/>
        <v>0.39726361721415593</v>
      </c>
    </row>
    <row r="74" spans="2:37" ht="15" x14ac:dyDescent="0.25">
      <c r="B74" s="330" t="s">
        <v>2492</v>
      </c>
      <c r="F74" s="338">
        <v>16.832445859198756</v>
      </c>
      <c r="J74" t="s">
        <v>1944</v>
      </c>
    </row>
    <row r="75" spans="2:37" x14ac:dyDescent="0.2">
      <c r="D75">
        <f>MATCH(D76,$D$53:$AJ$53,0)</f>
        <v>3</v>
      </c>
      <c r="E75">
        <f t="shared" ref="E75:H75" si="10">MATCH(E76,$D$53:$AJ$53,0)</f>
        <v>8</v>
      </c>
      <c r="F75">
        <f t="shared" si="10"/>
        <v>13</v>
      </c>
      <c r="G75">
        <f t="shared" si="10"/>
        <v>23</v>
      </c>
      <c r="H75">
        <f t="shared" si="10"/>
        <v>33</v>
      </c>
    </row>
    <row r="76" spans="2:37" x14ac:dyDescent="0.2">
      <c r="D76">
        <v>2020</v>
      </c>
      <c r="E76">
        <v>2025</v>
      </c>
      <c r="F76">
        <v>2030</v>
      </c>
      <c r="G76">
        <v>2040</v>
      </c>
      <c r="H76">
        <v>2050</v>
      </c>
    </row>
    <row r="77" spans="2:37" x14ac:dyDescent="0.2">
      <c r="B77" t="s">
        <v>1943</v>
      </c>
      <c r="C77" s="330" t="s">
        <v>2488</v>
      </c>
      <c r="D77" s="373" cm="1">
        <f t="array" ref="D77">INDEX($D$70:$AJ$70,1,D$75)*$F$74</f>
        <v>22878.556118989316</v>
      </c>
      <c r="E77" s="373" cm="1">
        <f t="array" ref="E77">INDEX($D$70:$AJ$70,1,E$75)*$F$74</f>
        <v>22058.624714245787</v>
      </c>
      <c r="F77" s="373" cm="1">
        <f t="array" ref="F77">INDEX($D$70:$AJ$70,1,F$75)*$F$74</f>
        <v>20299.193164678418</v>
      </c>
      <c r="G77" s="373" cm="1">
        <f t="array" ref="G77">INDEX($D$70:$AJ$70,1,G$75)*$F$74</f>
        <v>17012.375919257604</v>
      </c>
      <c r="H77" s="373" cm="1">
        <f t="array" ref="H77">INDEX($D$70:$AJ$70,1,H$75)*$F$74</f>
        <v>13957.604527550726</v>
      </c>
    </row>
    <row r="78" spans="2:37" x14ac:dyDescent="0.2">
      <c r="B78" t="s">
        <v>1942</v>
      </c>
      <c r="C78" s="330" t="s">
        <v>2488</v>
      </c>
      <c r="D78" s="373" cm="1">
        <f t="array" ref="D78">INDEX($D$71:$AJ$71,1,D$75)*$F$74</f>
        <v>22417.987656143807</v>
      </c>
      <c r="E78" s="373" cm="1">
        <f t="array" ref="E78">INDEX($D$71:$AJ$71,1,E$75)*$F$74</f>
        <v>21001.203847885714</v>
      </c>
      <c r="F78" s="373" cm="1">
        <f t="array" ref="F78">INDEX($D$71:$AJ$71,1,F$75)*$F$74</f>
        <v>17479.404187718224</v>
      </c>
      <c r="G78" s="373" cm="1">
        <f t="array" ref="G78">INDEX($D$71:$AJ$71,1,G$75)*$F$74</f>
        <v>12853.739468303687</v>
      </c>
      <c r="H78" s="373" cm="1">
        <f t="array" ref="H78">INDEX($D$71:$AJ$71,1,H$75)*$F$74</f>
        <v>10646.009349809612</v>
      </c>
    </row>
    <row r="79" spans="2:37" x14ac:dyDescent="0.2">
      <c r="B79" t="s">
        <v>1941</v>
      </c>
      <c r="C79" s="330" t="s">
        <v>2488</v>
      </c>
      <c r="D79" s="373" cm="1">
        <f t="array" ref="D79">INDEX($D$72:$AJ$72,1,D$75)*$F$74</f>
        <v>22076.430743943867</v>
      </c>
      <c r="E79" s="373" cm="1">
        <f t="array" ref="E79">INDEX($D$72:$AJ$72,1,E$75)*$F$74</f>
        <v>20236.989576099302</v>
      </c>
      <c r="F79" s="373" cm="1">
        <f t="array" ref="F79">INDEX($D$72:$AJ$72,1,F$75)*$F$74</f>
        <v>15441.49946295446</v>
      </c>
      <c r="G79" s="373" cm="1">
        <f t="array" ref="G79">INDEX($D$72:$AJ$72,1,G$75)*$F$74</f>
        <v>10020.727144045391</v>
      </c>
      <c r="H79" s="373" cm="1">
        <f t="array" ref="H79">INDEX($D$72:$AJ$72,1,H$75)*$F$74</f>
        <v>8770.1627325169393</v>
      </c>
    </row>
    <row r="82" spans="2:20" ht="15" x14ac:dyDescent="0.25">
      <c r="B82" t="s">
        <v>1945</v>
      </c>
      <c r="D82" s="338">
        <v>18.552</v>
      </c>
      <c r="E82" t="s">
        <v>1950</v>
      </c>
      <c r="T82" t="s">
        <v>1977</v>
      </c>
    </row>
    <row r="83" spans="2:20" x14ac:dyDescent="0.2">
      <c r="B83" t="s">
        <v>1999</v>
      </c>
      <c r="C83" t="s">
        <v>1949</v>
      </c>
      <c r="D83" t="s">
        <v>2000</v>
      </c>
      <c r="E83" t="s">
        <v>1186</v>
      </c>
    </row>
    <row r="84" spans="2:20" x14ac:dyDescent="0.2">
      <c r="B84" t="s">
        <v>1948</v>
      </c>
      <c r="C84">
        <v>975</v>
      </c>
      <c r="D84" s="384">
        <v>0.1</v>
      </c>
      <c r="E84" s="373">
        <f>C84*(1+D84)*$D$82</f>
        <v>19897.02</v>
      </c>
    </row>
    <row r="85" spans="2:20" x14ac:dyDescent="0.2">
      <c r="B85" t="s">
        <v>1947</v>
      </c>
      <c r="C85">
        <v>825</v>
      </c>
      <c r="D85" s="384">
        <v>0.1</v>
      </c>
      <c r="E85" s="373">
        <f>C85*(1+D85)*$D$82</f>
        <v>16835.940000000002</v>
      </c>
      <c r="H85" s="377"/>
    </row>
    <row r="86" spans="2:20" x14ac:dyDescent="0.2">
      <c r="C86">
        <f>C84*15</f>
        <v>14625</v>
      </c>
    </row>
    <row r="87" spans="2:20" x14ac:dyDescent="0.2">
      <c r="C87">
        <f>C85*14</f>
        <v>11550</v>
      </c>
    </row>
    <row r="88" spans="2:20" x14ac:dyDescent="0.2">
      <c r="B88" s="330" t="s">
        <v>1215</v>
      </c>
    </row>
    <row r="89" spans="2:20" x14ac:dyDescent="0.2">
      <c r="B89" s="330" t="s">
        <v>1821</v>
      </c>
      <c r="C89">
        <v>1250</v>
      </c>
      <c r="D89" s="384">
        <v>0.1</v>
      </c>
      <c r="E89" s="373">
        <f>C89*(1+D89)*$D$82</f>
        <v>25509</v>
      </c>
    </row>
    <row r="90" spans="2:20" x14ac:dyDescent="0.2">
      <c r="B90" s="330" t="s">
        <v>1819</v>
      </c>
      <c r="C90">
        <v>650</v>
      </c>
      <c r="D90" s="384">
        <v>0.1</v>
      </c>
      <c r="E90" s="373">
        <f>C90*(1+D90)*$D$82</f>
        <v>13264.680000000002</v>
      </c>
    </row>
    <row r="91" spans="2:20" x14ac:dyDescent="0.2">
      <c r="B91" s="330" t="s">
        <v>1968</v>
      </c>
    </row>
    <row r="113" spans="2:23" x14ac:dyDescent="0.2">
      <c r="B113" s="330" t="s">
        <v>1962</v>
      </c>
      <c r="C113" s="330" t="s">
        <v>1947</v>
      </c>
      <c r="D113" s="330" t="s">
        <v>1948</v>
      </c>
    </row>
    <row r="114" spans="2:23" x14ac:dyDescent="0.2">
      <c r="B114" s="330" t="s">
        <v>1955</v>
      </c>
      <c r="C114">
        <v>4000</v>
      </c>
      <c r="D114">
        <v>5100</v>
      </c>
      <c r="G114" s="330" t="s">
        <v>1963</v>
      </c>
      <c r="H114" s="330" t="s">
        <v>1964</v>
      </c>
      <c r="I114" s="330" t="s">
        <v>121</v>
      </c>
      <c r="J114" s="330" t="s">
        <v>1965</v>
      </c>
      <c r="K114">
        <v>12</v>
      </c>
      <c r="L114" s="330" t="s">
        <v>1966</v>
      </c>
    </row>
    <row r="115" spans="2:23" x14ac:dyDescent="0.2">
      <c r="B115" s="330" t="s">
        <v>1956</v>
      </c>
      <c r="C115">
        <v>30</v>
      </c>
      <c r="D115">
        <v>20</v>
      </c>
      <c r="J115">
        <v>10</v>
      </c>
      <c r="K115" s="330" t="s">
        <v>1967</v>
      </c>
    </row>
    <row r="116" spans="2:23" x14ac:dyDescent="0.2">
      <c r="B116" s="330" t="s">
        <v>1957</v>
      </c>
      <c r="C116">
        <v>350</v>
      </c>
      <c r="D116">
        <v>2000</v>
      </c>
      <c r="T116" t="s">
        <v>1946</v>
      </c>
      <c r="U116" t="s">
        <v>2001</v>
      </c>
      <c r="V116" t="s">
        <v>2003</v>
      </c>
      <c r="W116" t="s">
        <v>2002</v>
      </c>
    </row>
    <row r="117" spans="2:23" x14ac:dyDescent="0.2">
      <c r="B117" s="330" t="s">
        <v>1958</v>
      </c>
      <c r="C117">
        <v>700</v>
      </c>
      <c r="D117">
        <v>2000</v>
      </c>
      <c r="T117" s="330" t="s">
        <v>1979</v>
      </c>
      <c r="U117">
        <v>910</v>
      </c>
      <c r="V117">
        <v>1.2</v>
      </c>
      <c r="W117" s="373">
        <f>U117*V117*$D$82</f>
        <v>20258.784</v>
      </c>
    </row>
    <row r="118" spans="2:23" x14ac:dyDescent="0.2">
      <c r="B118" s="330" t="s">
        <v>1959</v>
      </c>
      <c r="C118">
        <v>400</v>
      </c>
      <c r="D118">
        <v>1700</v>
      </c>
      <c r="U118">
        <f>U117*14*V117</f>
        <v>15288</v>
      </c>
    </row>
    <row r="119" spans="2:23" x14ac:dyDescent="0.2">
      <c r="B119" s="330" t="s">
        <v>1960</v>
      </c>
      <c r="C119">
        <v>40</v>
      </c>
      <c r="D119">
        <v>1000</v>
      </c>
    </row>
    <row r="120" spans="2:23" x14ac:dyDescent="0.2">
      <c r="B120" s="330" t="s">
        <v>1138</v>
      </c>
      <c r="C120">
        <v>650</v>
      </c>
      <c r="D120">
        <v>1200</v>
      </c>
      <c r="T120" s="330" t="s">
        <v>1980</v>
      </c>
      <c r="U120">
        <v>780</v>
      </c>
    </row>
    <row r="121" spans="2:23" x14ac:dyDescent="0.2">
      <c r="B121" s="330" t="s">
        <v>1961</v>
      </c>
      <c r="C121">
        <f>10%*SUM(C114:C120)</f>
        <v>617</v>
      </c>
      <c r="D121">
        <f>10%*SUM(D114:D120)</f>
        <v>1302</v>
      </c>
      <c r="U121">
        <f>U120/U117</f>
        <v>0.8571428571428571</v>
      </c>
      <c r="V121">
        <f>0.86/0.99</f>
        <v>0.86868686868686873</v>
      </c>
    </row>
    <row r="122" spans="2:23" x14ac:dyDescent="0.2">
      <c r="C122">
        <f>SUM(C114:C121)</f>
        <v>6787</v>
      </c>
      <c r="D122">
        <f>SUM(D114:D121)</f>
        <v>14322</v>
      </c>
    </row>
    <row r="125" spans="2:23" x14ac:dyDescent="0.2">
      <c r="B125" s="330" t="s">
        <v>2501</v>
      </c>
      <c r="D125">
        <v>2020</v>
      </c>
      <c r="E125">
        <v>2025</v>
      </c>
      <c r="F125">
        <v>2030</v>
      </c>
      <c r="G125">
        <v>2040</v>
      </c>
      <c r="H125">
        <v>2050</v>
      </c>
    </row>
    <row r="126" spans="2:23" x14ac:dyDescent="0.2">
      <c r="C126" t="s">
        <v>2500</v>
      </c>
      <c r="D126" s="388">
        <v>1294.08</v>
      </c>
      <c r="E126" s="388">
        <v>961.55</v>
      </c>
      <c r="F126" s="388">
        <v>629.02</v>
      </c>
      <c r="G126" s="388">
        <v>452.01</v>
      </c>
      <c r="H126">
        <f>G126*H78/G78</f>
        <v>374.37375310692346</v>
      </c>
      <c r="M126">
        <v>13.188000000000001</v>
      </c>
      <c r="N126">
        <v>1.2</v>
      </c>
      <c r="O126">
        <f>M126/N126</f>
        <v>10.99</v>
      </c>
    </row>
    <row r="127" spans="2:23" ht="15" x14ac:dyDescent="0.25">
      <c r="M127">
        <v>11.4</v>
      </c>
      <c r="N127">
        <v>1.2</v>
      </c>
      <c r="O127">
        <f>M127/N127</f>
        <v>9.5</v>
      </c>
      <c r="T127" s="382" t="s">
        <v>139</v>
      </c>
      <c r="U127" s="383" t="s">
        <v>1996</v>
      </c>
    </row>
    <row r="128" spans="2:23" ht="15" x14ac:dyDescent="0.25">
      <c r="T128" s="382" t="s">
        <v>1997</v>
      </c>
      <c r="U128" s="265" t="s">
        <v>1998</v>
      </c>
    </row>
    <row r="129" spans="2:8" x14ac:dyDescent="0.2">
      <c r="B129" s="330" t="s">
        <v>2502</v>
      </c>
      <c r="C129" s="339">
        <v>17.734266525466214</v>
      </c>
    </row>
    <row r="130" spans="2:8" x14ac:dyDescent="0.2">
      <c r="C130" t="str">
        <f>C126</f>
        <v>Generic PV System (utility)</v>
      </c>
      <c r="D130">
        <f>D126*$C$129</f>
        <v>22949.559625275317</v>
      </c>
      <c r="E130">
        <f t="shared" ref="E130:F130" si="11">E126*$C$129</f>
        <v>17052.383977562036</v>
      </c>
      <c r="F130">
        <f t="shared" si="11"/>
        <v>11155.208329848758</v>
      </c>
      <c r="G130">
        <f>G126*$C$129</f>
        <v>8016.0658121759834</v>
      </c>
      <c r="H130">
        <f>H126*$C$129</f>
        <v>6639.2439177372662</v>
      </c>
    </row>
    <row r="167" spans="2:36" x14ac:dyDescent="0.2">
      <c r="B167" s="1" t="s">
        <v>2146</v>
      </c>
    </row>
    <row r="169" spans="2:36" ht="12.75" customHeight="1" x14ac:dyDescent="0.2">
      <c r="B169" s="402" t="s">
        <v>2155</v>
      </c>
      <c r="C169" s="401"/>
      <c r="D169" s="401"/>
      <c r="E169" s="401"/>
      <c r="F169" s="401"/>
      <c r="G169" s="401"/>
      <c r="H169" s="401"/>
      <c r="I169" s="401"/>
      <c r="J169" s="401"/>
      <c r="K169" s="401"/>
      <c r="L169" s="401"/>
      <c r="M169" s="401"/>
      <c r="N169" s="401"/>
    </row>
    <row r="170" spans="2:36" x14ac:dyDescent="0.2">
      <c r="B170" s="401"/>
      <c r="C170" s="401"/>
      <c r="D170" s="401"/>
      <c r="E170" s="401"/>
      <c r="F170" s="401"/>
      <c r="G170" s="401"/>
      <c r="H170" s="401"/>
      <c r="I170" s="401"/>
      <c r="J170" s="401"/>
      <c r="K170" s="401"/>
      <c r="L170" s="401"/>
      <c r="M170" s="401"/>
      <c r="N170" s="401"/>
    </row>
    <row r="171" spans="2:36" x14ac:dyDescent="0.2">
      <c r="B171" t="s">
        <v>2147</v>
      </c>
    </row>
    <row r="172" spans="2:36" x14ac:dyDescent="0.2">
      <c r="D172">
        <v>2018</v>
      </c>
      <c r="E172">
        <v>2019</v>
      </c>
      <c r="F172">
        <v>2020</v>
      </c>
      <c r="G172">
        <v>2021</v>
      </c>
      <c r="H172">
        <v>2022</v>
      </c>
      <c r="I172">
        <v>2023</v>
      </c>
      <c r="J172">
        <v>2024</v>
      </c>
      <c r="K172">
        <v>2025</v>
      </c>
      <c r="L172">
        <v>2026</v>
      </c>
      <c r="M172">
        <v>2027</v>
      </c>
      <c r="N172">
        <v>2028</v>
      </c>
      <c r="O172">
        <v>2029</v>
      </c>
      <c r="P172">
        <v>2030</v>
      </c>
      <c r="Q172">
        <v>2031</v>
      </c>
      <c r="R172">
        <v>2032</v>
      </c>
      <c r="S172">
        <v>2033</v>
      </c>
      <c r="T172">
        <v>2034</v>
      </c>
      <c r="U172">
        <v>2035</v>
      </c>
      <c r="V172">
        <v>2036</v>
      </c>
      <c r="W172">
        <v>2037</v>
      </c>
      <c r="X172">
        <v>2038</v>
      </c>
      <c r="Y172">
        <v>2039</v>
      </c>
      <c r="Z172">
        <v>2040</v>
      </c>
      <c r="AA172">
        <v>2041</v>
      </c>
      <c r="AB172">
        <v>2042</v>
      </c>
      <c r="AC172">
        <v>2043</v>
      </c>
      <c r="AD172">
        <v>2044</v>
      </c>
      <c r="AE172">
        <v>2045</v>
      </c>
      <c r="AF172">
        <v>2046</v>
      </c>
      <c r="AG172">
        <v>2047</v>
      </c>
      <c r="AH172">
        <v>2048</v>
      </c>
      <c r="AI172">
        <v>2049</v>
      </c>
      <c r="AJ172">
        <v>2050</v>
      </c>
    </row>
    <row r="173" spans="2:36" ht="12.75" customHeight="1" x14ac:dyDescent="0.2">
      <c r="B173" s="406" t="s">
        <v>2148</v>
      </c>
      <c r="C173" s="403" t="s">
        <v>2149</v>
      </c>
      <c r="D173" s="362">
        <v>1633.3913360754757</v>
      </c>
      <c r="E173" s="362">
        <v>1544</v>
      </c>
      <c r="F173" s="362">
        <v>1202.5639796527782</v>
      </c>
      <c r="G173" s="503">
        <v>1587.252</v>
      </c>
      <c r="H173" s="503">
        <v>1783.9999999999998</v>
      </c>
      <c r="I173" s="503">
        <v>1283.4089312134975</v>
      </c>
      <c r="J173" s="503">
        <v>1211.3686902086422</v>
      </c>
      <c r="K173" s="503">
        <v>1149.7378344770759</v>
      </c>
      <c r="L173" s="503">
        <v>1100.9356633856858</v>
      </c>
      <c r="M173" s="503">
        <v>1052.1341733005497</v>
      </c>
      <c r="N173" s="503">
        <v>1003.3315024638646</v>
      </c>
      <c r="O173" s="503">
        <v>954.52848826497723</v>
      </c>
      <c r="P173" s="503">
        <v>905.74157700364742</v>
      </c>
      <c r="Q173" s="503">
        <v>889.86097091121815</v>
      </c>
      <c r="R173" s="503">
        <v>873.9803644669214</v>
      </c>
      <c r="S173" s="503">
        <v>858.08411870687553</v>
      </c>
      <c r="T173" s="503">
        <v>842.20352675420804</v>
      </c>
      <c r="U173" s="503">
        <v>826.33964853731834</v>
      </c>
      <c r="V173" s="503">
        <v>810.44332500600035</v>
      </c>
      <c r="W173" s="503">
        <v>794.56275351546719</v>
      </c>
      <c r="X173" s="503">
        <v>778.68218305273797</v>
      </c>
      <c r="Y173" s="503">
        <v>762.80161368286417</v>
      </c>
      <c r="Z173" s="503">
        <v>746.90509761772933</v>
      </c>
      <c r="AA173" s="503">
        <v>731.02454207793949</v>
      </c>
      <c r="AB173" s="503">
        <v>715.16105292298255</v>
      </c>
      <c r="AC173" s="503">
        <v>699.28051564632153</v>
      </c>
      <c r="AD173" s="503">
        <v>683.38390234716678</v>
      </c>
      <c r="AE173" s="503">
        <v>667.50338073065654</v>
      </c>
      <c r="AF173" s="503">
        <v>651.62286289880694</v>
      </c>
      <c r="AG173" s="503">
        <v>635.74234914652732</v>
      </c>
      <c r="AH173" s="503">
        <v>619.84545779263578</v>
      </c>
      <c r="AI173" s="503">
        <v>603.96495612243154</v>
      </c>
      <c r="AJ173" s="503">
        <v>588.10206139428237</v>
      </c>
    </row>
    <row r="174" spans="2:36" x14ac:dyDescent="0.2">
      <c r="B174" s="407"/>
      <c r="C174" s="404" t="s">
        <v>2150</v>
      </c>
      <c r="D174" s="362">
        <v>1633.3913360754757</v>
      </c>
      <c r="E174" s="362">
        <v>1544</v>
      </c>
      <c r="F174" s="362">
        <v>1454.6086639245243</v>
      </c>
      <c r="G174" s="503">
        <v>1587.252</v>
      </c>
      <c r="H174" s="503">
        <v>1783.9999999999998</v>
      </c>
      <c r="I174" s="503">
        <v>1715.5023296252461</v>
      </c>
      <c r="J174" s="503">
        <v>1638.7746676012159</v>
      </c>
      <c r="K174" s="503">
        <v>1436.1771279620014</v>
      </c>
      <c r="L174" s="503">
        <v>1389.7184401141262</v>
      </c>
      <c r="M174" s="503">
        <v>1343.2563444012706</v>
      </c>
      <c r="N174" s="503">
        <v>1296.7904288662176</v>
      </c>
      <c r="O174" s="503">
        <v>1250.3202123650335</v>
      </c>
      <c r="P174" s="503">
        <v>1203.8451294059337</v>
      </c>
      <c r="Q174" s="503">
        <v>1185.2780416105979</v>
      </c>
      <c r="R174" s="503">
        <v>1166.7115321763933</v>
      </c>
      <c r="S174" s="503">
        <v>1148.1456236356078</v>
      </c>
      <c r="T174" s="503">
        <v>1129.5803397063723</v>
      </c>
      <c r="U174" s="503">
        <v>1111.0157053717128</v>
      </c>
      <c r="V174" s="503">
        <v>1092.4517469650091</v>
      </c>
      <c r="W174" s="503">
        <v>1073.8884922624818</v>
      </c>
      <c r="X174" s="503">
        <v>1055.3259705833821</v>
      </c>
      <c r="Y174" s="503">
        <v>1036.764212898649</v>
      </c>
      <c r="Z174" s="503">
        <v>1018.2032519488814</v>
      </c>
      <c r="AA174" s="503">
        <v>999.64312237256468</v>
      </c>
      <c r="AB174" s="503">
        <v>981.08386084561289</v>
      </c>
      <c r="AC174" s="503">
        <v>962.52550623340676</v>
      </c>
      <c r="AD174" s="503">
        <v>943.96809975664974</v>
      </c>
      <c r="AE174" s="503">
        <v>925.41168517253618</v>
      </c>
      <c r="AF174" s="503">
        <v>906.85630897290071</v>
      </c>
      <c r="AG174" s="503">
        <v>888.30202060123838</v>
      </c>
      <c r="AH174" s="503">
        <v>869.74887269072519</v>
      </c>
      <c r="AI174" s="503">
        <v>851.1969213256491</v>
      </c>
      <c r="AJ174" s="503">
        <v>832.64622632898147</v>
      </c>
    </row>
    <row r="175" spans="2:36" x14ac:dyDescent="0.2">
      <c r="B175" s="407"/>
      <c r="C175" s="405" t="s">
        <v>2151</v>
      </c>
      <c r="D175" s="362">
        <v>1633.3913360754757</v>
      </c>
      <c r="E175" s="362">
        <v>1544</v>
      </c>
      <c r="F175" s="362">
        <v>1503.542245989305</v>
      </c>
      <c r="G175" s="503">
        <v>1587.252</v>
      </c>
      <c r="H175" s="503">
        <v>1783.9999999999998</v>
      </c>
      <c r="I175" s="503">
        <v>1850.0798577759501</v>
      </c>
      <c r="J175" s="503">
        <v>1863.2877081129668</v>
      </c>
      <c r="K175" s="503">
        <v>1836.8507326771448</v>
      </c>
      <c r="L175" s="503">
        <v>1768.060821973952</v>
      </c>
      <c r="M175" s="503">
        <v>1699.2718165359402</v>
      </c>
      <c r="N175" s="503">
        <v>1630.483811953824</v>
      </c>
      <c r="O175" s="503">
        <v>1561.6969177677388</v>
      </c>
      <c r="P175" s="503">
        <v>1492.9112601081104</v>
      </c>
      <c r="Q175" s="503">
        <v>1482.6896213285265</v>
      </c>
      <c r="R175" s="503">
        <v>1472.4679825489429</v>
      </c>
      <c r="S175" s="503">
        <v>1462.2463437693593</v>
      </c>
      <c r="T175" s="503">
        <v>1452.0247049897755</v>
      </c>
      <c r="U175" s="503">
        <v>1441.8030662101919</v>
      </c>
      <c r="V175" s="503">
        <v>1431.5814274306081</v>
      </c>
      <c r="W175" s="503">
        <v>1421.3597886510247</v>
      </c>
      <c r="X175" s="503">
        <v>1411.1381498714409</v>
      </c>
      <c r="Y175" s="503">
        <v>1400.916511091857</v>
      </c>
      <c r="Z175" s="503">
        <v>1390.6948723122734</v>
      </c>
      <c r="AA175" s="503">
        <v>1380.4732335326898</v>
      </c>
      <c r="AB175" s="503">
        <v>1370.251594753106</v>
      </c>
      <c r="AC175" s="503">
        <v>1360.0299559735224</v>
      </c>
      <c r="AD175" s="503">
        <v>1349.8083171939388</v>
      </c>
      <c r="AE175" s="503">
        <v>1339.5866784143552</v>
      </c>
      <c r="AF175" s="503">
        <v>1329.3650396347716</v>
      </c>
      <c r="AG175" s="503">
        <v>1319.1434008551876</v>
      </c>
      <c r="AH175" s="503">
        <v>1308.921762075604</v>
      </c>
      <c r="AI175" s="503">
        <v>1298.7001232960204</v>
      </c>
      <c r="AJ175" s="503">
        <v>1288.4784845164372</v>
      </c>
    </row>
    <row r="176" spans="2:36" x14ac:dyDescent="0.2">
      <c r="B176" s="402"/>
      <c r="C176" s="403" t="s">
        <v>2152</v>
      </c>
      <c r="D176" s="362">
        <v>962.68530817919873</v>
      </c>
      <c r="E176" s="362">
        <v>910</v>
      </c>
      <c r="F176" s="362">
        <v>708.76503982126178</v>
      </c>
      <c r="G176" s="362">
        <v>658.87848232982071</v>
      </c>
      <c r="H176" s="362">
        <v>608.99192483837953</v>
      </c>
      <c r="I176" s="362">
        <v>559.10536734693835</v>
      </c>
      <c r="J176" s="362">
        <v>509.21880985549723</v>
      </c>
      <c r="K176" s="362">
        <v>459.33225236405622</v>
      </c>
      <c r="L176" s="362">
        <v>434.34912395301643</v>
      </c>
      <c r="M176" s="362">
        <v>409.36599554197653</v>
      </c>
      <c r="N176" s="362">
        <v>384.38286713093669</v>
      </c>
      <c r="O176" s="362">
        <v>359.39973871989679</v>
      </c>
      <c r="P176" s="362">
        <v>334.41661030885683</v>
      </c>
      <c r="Q176" s="362">
        <v>327.87367662890091</v>
      </c>
      <c r="R176" s="362">
        <v>321.33074294894504</v>
      </c>
      <c r="S176" s="362">
        <v>314.78780926898912</v>
      </c>
      <c r="T176" s="362">
        <v>308.2448755890332</v>
      </c>
      <c r="U176" s="362">
        <v>301.70194190907728</v>
      </c>
      <c r="V176" s="362">
        <v>295.15900822912135</v>
      </c>
      <c r="W176" s="362">
        <v>288.61607454916543</v>
      </c>
      <c r="X176" s="362">
        <v>282.07314086920951</v>
      </c>
      <c r="Y176" s="362">
        <v>275.53020718925359</v>
      </c>
      <c r="Z176" s="362">
        <v>268.98727350929772</v>
      </c>
      <c r="AA176" s="362">
        <v>262.4443398293418</v>
      </c>
      <c r="AB176" s="362">
        <v>255.90140614938588</v>
      </c>
      <c r="AC176" s="362">
        <v>249.35847246942996</v>
      </c>
      <c r="AD176" s="362">
        <v>242.81553878947403</v>
      </c>
      <c r="AE176" s="362">
        <v>236.27260510951811</v>
      </c>
      <c r="AF176" s="362">
        <v>229.72967142956222</v>
      </c>
      <c r="AG176" s="362">
        <v>223.18673774960632</v>
      </c>
      <c r="AH176" s="362">
        <v>216.64380406965046</v>
      </c>
      <c r="AI176" s="362">
        <v>210.10087038969453</v>
      </c>
      <c r="AJ176" s="362">
        <v>203.55793670973901</v>
      </c>
    </row>
    <row r="177" spans="2:36" x14ac:dyDescent="0.2">
      <c r="B177" s="402"/>
      <c r="C177" s="404" t="s">
        <v>2153</v>
      </c>
      <c r="D177" s="362">
        <v>962.68530817919873</v>
      </c>
      <c r="E177" s="362">
        <v>910</v>
      </c>
      <c r="F177" s="362">
        <v>857.31469182080127</v>
      </c>
      <c r="G177" s="362">
        <v>804.20758167749966</v>
      </c>
      <c r="H177" s="362">
        <v>751.10047153419839</v>
      </c>
      <c r="I177" s="362">
        <v>697.99336139089701</v>
      </c>
      <c r="J177" s="362">
        <v>644.88625124759574</v>
      </c>
      <c r="K177" s="362">
        <v>591.77914110429447</v>
      </c>
      <c r="L177" s="362">
        <v>569.75517430273953</v>
      </c>
      <c r="M177" s="362">
        <v>547.73120750118449</v>
      </c>
      <c r="N177" s="362">
        <v>525.70724069962955</v>
      </c>
      <c r="O177" s="362">
        <v>503.68327389807462</v>
      </c>
      <c r="P177" s="362">
        <v>481.65930709651929</v>
      </c>
      <c r="Q177" s="362">
        <v>475.6385657578129</v>
      </c>
      <c r="R177" s="362">
        <v>469.61782441910646</v>
      </c>
      <c r="S177" s="362">
        <v>463.59708308039995</v>
      </c>
      <c r="T177" s="362">
        <v>457.57634174169345</v>
      </c>
      <c r="U177" s="362">
        <v>451.55560040298695</v>
      </c>
      <c r="V177" s="362">
        <v>445.53485906428057</v>
      </c>
      <c r="W177" s="362">
        <v>439.51411772557401</v>
      </c>
      <c r="X177" s="362">
        <v>433.49337638686757</v>
      </c>
      <c r="Y177" s="362">
        <v>427.47263504816107</v>
      </c>
      <c r="Z177" s="362">
        <v>421.45189370945468</v>
      </c>
      <c r="AA177" s="362">
        <v>415.43115237074824</v>
      </c>
      <c r="AB177" s="362">
        <v>409.41041103204168</v>
      </c>
      <c r="AC177" s="362">
        <v>403.38966969333524</v>
      </c>
      <c r="AD177" s="362">
        <v>397.36892835462879</v>
      </c>
      <c r="AE177" s="362">
        <v>391.34818701592229</v>
      </c>
      <c r="AF177" s="362">
        <v>385.32744567721579</v>
      </c>
      <c r="AG177" s="362">
        <v>379.30670433850935</v>
      </c>
      <c r="AH177" s="362">
        <v>373.28596299980279</v>
      </c>
      <c r="AI177" s="362">
        <v>367.2652216610964</v>
      </c>
      <c r="AJ177" s="362">
        <v>361.24448032238956</v>
      </c>
    </row>
    <row r="178" spans="2:36" x14ac:dyDescent="0.2">
      <c r="B178" s="402"/>
      <c r="C178" s="405" t="s">
        <v>2154</v>
      </c>
      <c r="D178" s="362">
        <v>962.68530817919873</v>
      </c>
      <c r="E178" s="362">
        <v>910</v>
      </c>
      <c r="F178" s="362">
        <v>886.15508021390383</v>
      </c>
      <c r="G178" s="362">
        <v>862.31016042780766</v>
      </c>
      <c r="H178" s="362">
        <v>838.46524064171126</v>
      </c>
      <c r="I178" s="362">
        <v>814.62032085561486</v>
      </c>
      <c r="J178" s="362">
        <v>790.77540106951881</v>
      </c>
      <c r="K178" s="362">
        <v>766.93048128342241</v>
      </c>
      <c r="L178" s="362">
        <v>749.02245989304811</v>
      </c>
      <c r="M178" s="362">
        <v>731.11443850267381</v>
      </c>
      <c r="N178" s="362">
        <v>713.20641711229939</v>
      </c>
      <c r="O178" s="362">
        <v>695.2983957219252</v>
      </c>
      <c r="P178" s="362">
        <v>677.39037433155079</v>
      </c>
      <c r="Q178" s="362">
        <v>668.92299465240649</v>
      </c>
      <c r="R178" s="362">
        <v>660.45561497326207</v>
      </c>
      <c r="S178" s="362">
        <v>651.98823529411777</v>
      </c>
      <c r="T178" s="362">
        <v>643.52085561497336</v>
      </c>
      <c r="U178" s="362">
        <v>635.05347593582906</v>
      </c>
      <c r="V178" s="362">
        <v>626.58609625668464</v>
      </c>
      <c r="W178" s="362">
        <v>618.11871657754034</v>
      </c>
      <c r="X178" s="362">
        <v>609.65133689839593</v>
      </c>
      <c r="Y178" s="362">
        <v>601.18395721925151</v>
      </c>
      <c r="Z178" s="362">
        <v>592.71657754010721</v>
      </c>
      <c r="AA178" s="362">
        <v>584.24919786096279</v>
      </c>
      <c r="AB178" s="362">
        <v>575.78181818181849</v>
      </c>
      <c r="AC178" s="362">
        <v>567.31443850267408</v>
      </c>
      <c r="AD178" s="362">
        <v>558.84705882352978</v>
      </c>
      <c r="AE178" s="362">
        <v>550.37967914438536</v>
      </c>
      <c r="AF178" s="362">
        <v>541.91229946524095</v>
      </c>
      <c r="AG178" s="362">
        <v>533.44491978609665</v>
      </c>
      <c r="AH178" s="362">
        <v>524.97754010695235</v>
      </c>
      <c r="AI178" s="362">
        <v>516.51016042780793</v>
      </c>
      <c r="AJ178" s="362">
        <v>508.04278074866323</v>
      </c>
    </row>
    <row r="181" spans="2:36" x14ac:dyDescent="0.2">
      <c r="C181" s="404" t="s">
        <v>2504</v>
      </c>
      <c r="D181" s="373">
        <f>D174*$F$74</f>
        <v>27493.971231374766</v>
      </c>
      <c r="E181" s="373">
        <f t="shared" ref="E181:AJ181" si="12">E174*$F$74</f>
        <v>25989.29640660288</v>
      </c>
      <c r="F181" s="373">
        <f t="shared" si="12"/>
        <v>24484.621581830994</v>
      </c>
      <c r="G181" s="373">
        <f t="shared" si="12"/>
        <v>26717.333354904942</v>
      </c>
      <c r="H181" s="373">
        <f t="shared" si="12"/>
        <v>30029.083412810578</v>
      </c>
      <c r="I181" s="373">
        <f t="shared" si="12"/>
        <v>28876.100084746296</v>
      </c>
      <c r="J181" s="373">
        <f t="shared" si="12"/>
        <v>27584.585867823906</v>
      </c>
      <c r="K181" s="373">
        <f t="shared" si="12"/>
        <v>24174.373750639952</v>
      </c>
      <c r="L181" s="373">
        <f t="shared" si="12"/>
        <v>23392.360402751179</v>
      </c>
      <c r="M181" s="373">
        <f t="shared" si="12"/>
        <v>22610.289692159626</v>
      </c>
      <c r="N181" s="373">
        <f t="shared" si="12"/>
        <v>21828.154684617744</v>
      </c>
      <c r="O181" s="373">
        <f t="shared" si="12"/>
        <v>21045.947281296318</v>
      </c>
      <c r="P181" s="373">
        <f t="shared" si="12"/>
        <v>20263.657963585498</v>
      </c>
      <c r="Q181" s="373">
        <f t="shared" si="12"/>
        <v>19951.128463507521</v>
      </c>
      <c r="R181" s="373">
        <f t="shared" si="12"/>
        <v>19638.60869866197</v>
      </c>
      <c r="S181" s="373">
        <f t="shared" si="12"/>
        <v>19326.099048322361</v>
      </c>
      <c r="T181" s="373">
        <f t="shared" si="12"/>
        <v>19013.599911722853</v>
      </c>
      <c r="U181" s="373">
        <f t="shared" si="12"/>
        <v>18701.111709388872</v>
      </c>
      <c r="V181" s="373">
        <f t="shared" si="12"/>
        <v>18388.634884575615</v>
      </c>
      <c r="W181" s="373">
        <f t="shared" si="12"/>
        <v>18076.169904824808</v>
      </c>
      <c r="X181" s="373">
        <f t="shared" si="12"/>
        <v>17763.717263651157</v>
      </c>
      <c r="Y181" s="373">
        <f t="shared" si="12"/>
        <v>17451.277482371323</v>
      </c>
      <c r="Z181" s="373">
        <f t="shared" si="12"/>
        <v>17138.851112089658</v>
      </c>
      <c r="AA181" s="373">
        <f t="shared" si="12"/>
        <v>16826.438735856591</v>
      </c>
      <c r="AB181" s="373">
        <f t="shared" si="12"/>
        <v>16514.040971017464</v>
      </c>
      <c r="AC181" s="373">
        <f t="shared" si="12"/>
        <v>16201.658471771694</v>
      </c>
      <c r="AD181" s="373">
        <f t="shared" si="12"/>
        <v>15889.291931964537</v>
      </c>
      <c r="AE181" s="373">
        <f t="shared" si="12"/>
        <v>15576.9420881366</v>
      </c>
      <c r="AF181" s="373">
        <f t="shared" si="12"/>
        <v>15264.60972285917</v>
      </c>
      <c r="AG181" s="373">
        <f t="shared" si="12"/>
        <v>14952.295668387203</v>
      </c>
      <c r="AH181" s="373">
        <f t="shared" si="12"/>
        <v>14640.000810665784</v>
      </c>
      <c r="AI181" s="373">
        <f t="shared" si="12"/>
        <v>14327.726093730651</v>
      </c>
      <c r="AJ181" s="373">
        <f t="shared" si="12"/>
        <v>14015.472524548735</v>
      </c>
    </row>
    <row r="185" spans="2:36" x14ac:dyDescent="0.2">
      <c r="C185" s="330" t="s">
        <v>2177</v>
      </c>
      <c r="D185" s="330" t="s">
        <v>2180</v>
      </c>
      <c r="E185" s="330" t="s">
        <v>2181</v>
      </c>
      <c r="F185" s="330" t="s">
        <v>2511</v>
      </c>
    </row>
    <row r="186" spans="2:36" x14ac:dyDescent="0.2">
      <c r="C186" s="330" t="s">
        <v>2178</v>
      </c>
      <c r="D186">
        <v>1750</v>
      </c>
      <c r="E186">
        <f>D186*1.12</f>
        <v>1960.0000000000002</v>
      </c>
      <c r="F186">
        <f>E186*17.734</f>
        <v>34758.640000000007</v>
      </c>
    </row>
    <row r="187" spans="2:36" x14ac:dyDescent="0.2">
      <c r="D187" s="330" t="s">
        <v>2182</v>
      </c>
      <c r="E187" s="330" t="s">
        <v>2183</v>
      </c>
      <c r="F187" s="330" t="s">
        <v>122</v>
      </c>
    </row>
    <row r="188" spans="2:36" x14ac:dyDescent="0.2">
      <c r="C188" s="330" t="s">
        <v>1891</v>
      </c>
      <c r="D188">
        <f>2/100</f>
        <v>0.02</v>
      </c>
      <c r="E188">
        <f>D188*E186/D186</f>
        <v>2.2400000000000003E-2</v>
      </c>
      <c r="F188" s="387">
        <f>E188/3.6*1000*F186/E186</f>
        <v>110.34488888888889</v>
      </c>
    </row>
    <row r="189" spans="2:36" x14ac:dyDescent="0.2">
      <c r="C189" s="330" t="s">
        <v>154</v>
      </c>
      <c r="F189" s="384">
        <v>0.5</v>
      </c>
    </row>
    <row r="191" spans="2:36" x14ac:dyDescent="0.2">
      <c r="C191" t="s">
        <v>2179</v>
      </c>
    </row>
  </sheetData>
  <mergeCells count="1">
    <mergeCell ref="B54:B68"/>
  </mergeCells>
  <phoneticPr fontId="97" type="noConversion"/>
  <hyperlinks>
    <hyperlink ref="U128" r:id="rId1" xr:uid="{BBD290B2-7634-4214-A75B-52F9EB1FD03E}"/>
  </hyperlinks>
  <pageMargins left="0.7" right="0.7" top="0.75" bottom="0.75" header="0.3" footer="0.3"/>
  <drawing r:id="rId2"/>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D8EB8-0CC4-4CEA-BF63-C5F8249E28ED}">
  <sheetPr codeName="Sheet27"/>
  <dimension ref="B24:S50"/>
  <sheetViews>
    <sheetView workbookViewId="0"/>
  </sheetViews>
  <sheetFormatPr defaultColWidth="8.85546875" defaultRowHeight="12.75" x14ac:dyDescent="0.2"/>
  <cols>
    <col min="18" max="18" width="15" customWidth="1"/>
  </cols>
  <sheetData>
    <row r="24" spans="2:3" ht="15" x14ac:dyDescent="0.2">
      <c r="C24" s="374" t="s">
        <v>1969</v>
      </c>
    </row>
    <row r="26" spans="2:3" ht="15" x14ac:dyDescent="0.2">
      <c r="C26" s="374" t="s">
        <v>1970</v>
      </c>
    </row>
    <row r="28" spans="2:3" ht="15" x14ac:dyDescent="0.2">
      <c r="C28" s="374" t="s">
        <v>1971</v>
      </c>
    </row>
    <row r="31" spans="2:3" x14ac:dyDescent="0.2">
      <c r="B31" t="s">
        <v>2014</v>
      </c>
    </row>
    <row r="33" spans="17:19" x14ac:dyDescent="0.2">
      <c r="Q33" s="1" t="s">
        <v>2015</v>
      </c>
    </row>
    <row r="34" spans="17:19" x14ac:dyDescent="0.2">
      <c r="Q34" s="330" t="s">
        <v>2018</v>
      </c>
      <c r="R34" s="330" t="s">
        <v>2017</v>
      </c>
      <c r="S34">
        <v>123</v>
      </c>
    </row>
    <row r="35" spans="17:19" x14ac:dyDescent="0.2">
      <c r="Q35" s="330" t="s">
        <v>2016</v>
      </c>
      <c r="R35" s="330" t="s">
        <v>2017</v>
      </c>
      <c r="S35">
        <v>96.25</v>
      </c>
    </row>
    <row r="36" spans="17:19" x14ac:dyDescent="0.2">
      <c r="Q36" s="330" t="s">
        <v>2019</v>
      </c>
      <c r="R36" s="330" t="s">
        <v>2017</v>
      </c>
      <c r="S36">
        <f>S34-S35</f>
        <v>26.75</v>
      </c>
    </row>
    <row r="37" spans="17:19" x14ac:dyDescent="0.2">
      <c r="Q37" s="330" t="s">
        <v>2021</v>
      </c>
      <c r="S37">
        <v>310</v>
      </c>
    </row>
    <row r="38" spans="17:19" x14ac:dyDescent="0.2">
      <c r="Q38" s="330" t="s">
        <v>2020</v>
      </c>
      <c r="R38" s="330" t="s">
        <v>2017</v>
      </c>
      <c r="S38">
        <f>S36/S37</f>
        <v>8.629032258064516E-2</v>
      </c>
    </row>
    <row r="39" spans="17:19" x14ac:dyDescent="0.2">
      <c r="Q39" s="330" t="s">
        <v>2022</v>
      </c>
      <c r="S39">
        <v>0.36</v>
      </c>
    </row>
    <row r="40" spans="17:19" x14ac:dyDescent="0.2">
      <c r="R40" s="330" t="s">
        <v>2024</v>
      </c>
      <c r="S40">
        <f>S38/S39*3.6</f>
        <v>0.86290322580645162</v>
      </c>
    </row>
    <row r="41" spans="17:19" x14ac:dyDescent="0.2">
      <c r="R41" s="330" t="s">
        <v>2025</v>
      </c>
      <c r="S41" s="387">
        <f>S35/S39*3.6/1000</f>
        <v>0.96250000000000013</v>
      </c>
    </row>
    <row r="42" spans="17:19" x14ac:dyDescent="0.2">
      <c r="R42" s="330" t="s">
        <v>2026</v>
      </c>
      <c r="S42" s="388">
        <f>S41*1000</f>
        <v>962.50000000000011</v>
      </c>
    </row>
    <row r="43" spans="17:19" x14ac:dyDescent="0.2">
      <c r="R43" s="330" t="s">
        <v>2023</v>
      </c>
      <c r="S43" s="387">
        <f>(S40*S37+S35/S39*3.6)/1000</f>
        <v>1.23</v>
      </c>
    </row>
    <row r="47" spans="17:19" x14ac:dyDescent="0.2">
      <c r="Q47" s="330" t="s">
        <v>2027</v>
      </c>
      <c r="R47" s="330" t="s">
        <v>121</v>
      </c>
      <c r="S47">
        <v>1500</v>
      </c>
    </row>
    <row r="48" spans="17:19" x14ac:dyDescent="0.2">
      <c r="Q48" s="330" t="s">
        <v>1893</v>
      </c>
      <c r="S48" s="384">
        <v>0.85</v>
      </c>
    </row>
    <row r="49" spans="17:19" x14ac:dyDescent="0.2">
      <c r="Q49" s="330" t="s">
        <v>136</v>
      </c>
      <c r="S49">
        <f>S47*8.76*S48</f>
        <v>11169</v>
      </c>
    </row>
    <row r="50" spans="17:19" x14ac:dyDescent="0.2">
      <c r="Q50" s="330" t="s">
        <v>2016</v>
      </c>
      <c r="R50" s="330" t="s">
        <v>2028</v>
      </c>
      <c r="S50">
        <f>S43*S49</f>
        <v>13737.869999999999</v>
      </c>
    </row>
  </sheetData>
  <pageMargins left="0.7" right="0.7" top="0.75" bottom="0.75" header="0.3" footer="0.3"/>
  <pageSetup paperSize="9" orientation="portrait"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6B0E1-42A7-4DFB-90D9-7D5740CE64F6}">
  <sheetPr codeName="Sheet55"/>
  <dimension ref="C1"/>
  <sheetViews>
    <sheetView workbookViewId="0"/>
  </sheetViews>
  <sheetFormatPr defaultColWidth="8.85546875" defaultRowHeight="12.75" x14ac:dyDescent="0.2"/>
  <sheetData>
    <row r="1" spans="3:3" ht="15" x14ac:dyDescent="0.25">
      <c r="C1" s="349" t="s">
        <v>1878</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F8F1F-242A-4A2A-86B8-F61E5485EFC6}">
  <sheetPr codeName="Sheet56">
    <tabColor theme="5"/>
  </sheetPr>
  <dimension ref="A1:J109"/>
  <sheetViews>
    <sheetView workbookViewId="0"/>
  </sheetViews>
  <sheetFormatPr defaultColWidth="9.140625" defaultRowHeight="15" x14ac:dyDescent="0.25"/>
  <cols>
    <col min="1" max="1" width="14.28515625" style="157" bestFit="1" customWidth="1"/>
    <col min="2" max="2" width="22.42578125" style="157" customWidth="1"/>
    <col min="3" max="4" width="9.140625" style="157"/>
    <col min="5" max="5" width="19.42578125" style="157" bestFit="1" customWidth="1"/>
    <col min="6" max="16384" width="9.140625" style="157"/>
  </cols>
  <sheetData>
    <row r="1" spans="1:10" x14ac:dyDescent="0.25">
      <c r="A1" s="157" t="s">
        <v>1400</v>
      </c>
      <c r="B1" s="157" t="s">
        <v>1399</v>
      </c>
      <c r="C1" s="157" t="s">
        <v>1398</v>
      </c>
      <c r="D1" s="157" t="s">
        <v>1397</v>
      </c>
      <c r="E1" s="157" t="s">
        <v>1396</v>
      </c>
      <c r="F1" s="157" t="s">
        <v>313</v>
      </c>
      <c r="G1" s="157" t="s">
        <v>312</v>
      </c>
      <c r="H1" s="157" t="s">
        <v>311</v>
      </c>
      <c r="I1" s="157" t="s">
        <v>310</v>
      </c>
      <c r="J1" s="157" t="s">
        <v>1395</v>
      </c>
    </row>
    <row r="2" spans="1:10" x14ac:dyDescent="0.25">
      <c r="A2" s="157" t="s">
        <v>1394</v>
      </c>
      <c r="B2" s="157" t="s">
        <v>1393</v>
      </c>
      <c r="C2" s="157" t="s">
        <v>1222</v>
      </c>
      <c r="D2" s="157" t="s">
        <v>1388</v>
      </c>
      <c r="E2" s="157" t="s">
        <v>1388</v>
      </c>
      <c r="F2" s="157" cm="1">
        <f t="array" ref="F2">INDEX('Lab.Calcs.Assumptions'!B$4:B$30,$J2)</f>
        <v>1.72E-2</v>
      </c>
      <c r="G2" s="157" cm="1">
        <f t="array" ref="G2">INDEX('Lab.Calcs.Assumptions'!C$4:C$30,$J2)</f>
        <v>1.958E-2</v>
      </c>
      <c r="H2" s="157" cm="1">
        <f t="array" ref="H2">INDEX('Lab.Calcs.Assumptions'!D$4:D$30,$J2)</f>
        <v>6.4769999999999994E-2</v>
      </c>
      <c r="I2" s="157" cm="1">
        <f t="array" ref="I2">INDEX('Lab.Calcs.Assumptions'!E$4:E$30,$J2)</f>
        <v>0.23189000000000001</v>
      </c>
      <c r="J2" s="157">
        <f>MATCH(E2,'Lab.Calcs.Assumptions'!$A$4:$A$30,0)</f>
        <v>1</v>
      </c>
    </row>
    <row r="3" spans="1:10" x14ac:dyDescent="0.25">
      <c r="A3" s="157" t="s">
        <v>1392</v>
      </c>
      <c r="B3" s="157" t="s">
        <v>1391</v>
      </c>
      <c r="C3" s="157" t="s">
        <v>1222</v>
      </c>
      <c r="D3" s="157" t="s">
        <v>1388</v>
      </c>
      <c r="E3" s="157" t="s">
        <v>1388</v>
      </c>
      <c r="F3" s="157" cm="1">
        <f t="array" ref="F3">INDEX('Lab.Calcs.Assumptions'!B$4:B$30,$J3)</f>
        <v>1.72E-2</v>
      </c>
      <c r="G3" s="157" cm="1">
        <f t="array" ref="G3">INDEX('Lab.Calcs.Assumptions'!C$4:C$30,$J3)</f>
        <v>1.958E-2</v>
      </c>
      <c r="H3" s="157" cm="1">
        <f t="array" ref="H3">INDEX('Lab.Calcs.Assumptions'!D$4:D$30,$J3)</f>
        <v>6.4769999999999994E-2</v>
      </c>
      <c r="I3" s="157" cm="1">
        <f t="array" ref="I3">INDEX('Lab.Calcs.Assumptions'!E$4:E$30,$J3)</f>
        <v>0.23189000000000001</v>
      </c>
      <c r="J3" s="157">
        <f>MATCH(E3,'Lab.Calcs.Assumptions'!$A$4:$A$30,0)</f>
        <v>1</v>
      </c>
    </row>
    <row r="4" spans="1:10" x14ac:dyDescent="0.25">
      <c r="A4" s="157" t="s">
        <v>256</v>
      </c>
      <c r="B4" s="157" t="s">
        <v>1390</v>
      </c>
      <c r="C4" s="157" t="s">
        <v>1222</v>
      </c>
      <c r="D4" s="157" t="s">
        <v>1388</v>
      </c>
      <c r="E4" s="157" t="s">
        <v>1388</v>
      </c>
      <c r="F4" s="157" cm="1">
        <f t="array" ref="F4">INDEX('Lab.Calcs.Assumptions'!B$4:B$30,$J4)</f>
        <v>1.72E-2</v>
      </c>
      <c r="G4" s="157" cm="1">
        <f t="array" ref="G4">INDEX('Lab.Calcs.Assumptions'!C$4:C$30,$J4)</f>
        <v>1.958E-2</v>
      </c>
      <c r="H4" s="157" cm="1">
        <f t="array" ref="H4">INDEX('Lab.Calcs.Assumptions'!D$4:D$30,$J4)</f>
        <v>6.4769999999999994E-2</v>
      </c>
      <c r="I4" s="157" cm="1">
        <f t="array" ref="I4">INDEX('Lab.Calcs.Assumptions'!E$4:E$30,$J4)</f>
        <v>0.23189000000000001</v>
      </c>
      <c r="J4" s="157">
        <f>MATCH(E4,'Lab.Calcs.Assumptions'!$A$4:$A$30,0)</f>
        <v>1</v>
      </c>
    </row>
    <row r="5" spans="1:10" x14ac:dyDescent="0.25">
      <c r="A5" s="157" t="s">
        <v>270</v>
      </c>
      <c r="B5" s="157" t="s">
        <v>1389</v>
      </c>
      <c r="C5" s="157" t="s">
        <v>1222</v>
      </c>
      <c r="D5" s="157" t="s">
        <v>1388</v>
      </c>
      <c r="E5" s="157" t="s">
        <v>1388</v>
      </c>
      <c r="F5" s="157" cm="1">
        <f t="array" ref="F5">INDEX('Lab.Calcs.Assumptions'!B$4:B$30,$J5)</f>
        <v>1.72E-2</v>
      </c>
      <c r="G5" s="157" cm="1">
        <f t="array" ref="G5">INDEX('Lab.Calcs.Assumptions'!C$4:C$30,$J5)</f>
        <v>1.958E-2</v>
      </c>
      <c r="H5" s="157" cm="1">
        <f t="array" ref="H5">INDEX('Lab.Calcs.Assumptions'!D$4:D$30,$J5)</f>
        <v>6.4769999999999994E-2</v>
      </c>
      <c r="I5" s="157" cm="1">
        <f t="array" ref="I5">INDEX('Lab.Calcs.Assumptions'!E$4:E$30,$J5)</f>
        <v>0.23189000000000001</v>
      </c>
      <c r="J5" s="157">
        <f>MATCH(E5,'Lab.Calcs.Assumptions'!$A$4:$A$30,0)</f>
        <v>1</v>
      </c>
    </row>
    <row r="6" spans="1:10" x14ac:dyDescent="0.25">
      <c r="A6" s="157" t="s">
        <v>228</v>
      </c>
      <c r="B6" s="157" t="s">
        <v>1387</v>
      </c>
      <c r="C6" s="157" t="s">
        <v>1222</v>
      </c>
      <c r="D6" s="157" t="s">
        <v>1385</v>
      </c>
      <c r="E6" s="157" t="s">
        <v>1385</v>
      </c>
      <c r="F6" s="157" cm="1">
        <f t="array" ref="F6">INDEX('Lab.Calcs.Assumptions'!B$4:B$30,$J6)</f>
        <v>1.72E-2</v>
      </c>
      <c r="G6" s="157" cm="1">
        <f t="array" ref="G6">INDEX('Lab.Calcs.Assumptions'!C$4:C$30,$J6)</f>
        <v>1.958E-2</v>
      </c>
      <c r="H6" s="157" cm="1">
        <f t="array" ref="H6">INDEX('Lab.Calcs.Assumptions'!D$4:D$30,$J6)</f>
        <v>6.4769999999999994E-2</v>
      </c>
      <c r="I6" s="157" cm="1">
        <f t="array" ref="I6">INDEX('Lab.Calcs.Assumptions'!E$4:E$30,$J6)</f>
        <v>0.23189000000000001</v>
      </c>
      <c r="J6" s="157">
        <f>MATCH(E6,'Lab.Calcs.Assumptions'!$A$4:$A$30,0)</f>
        <v>2</v>
      </c>
    </row>
    <row r="7" spans="1:10" x14ac:dyDescent="0.25">
      <c r="A7" s="157" t="s">
        <v>230</v>
      </c>
      <c r="B7" s="157" t="s">
        <v>1386</v>
      </c>
      <c r="C7" s="157" t="s">
        <v>1222</v>
      </c>
      <c r="D7" s="157" t="s">
        <v>1385</v>
      </c>
      <c r="E7" s="157" t="s">
        <v>1385</v>
      </c>
      <c r="F7" s="157" cm="1">
        <f t="array" ref="F7">INDEX('Lab.Calcs.Assumptions'!B$4:B$30,$J7)</f>
        <v>1.72E-2</v>
      </c>
      <c r="G7" s="157" cm="1">
        <f t="array" ref="G7">INDEX('Lab.Calcs.Assumptions'!C$4:C$30,$J7)</f>
        <v>1.958E-2</v>
      </c>
      <c r="H7" s="157" cm="1">
        <f t="array" ref="H7">INDEX('Lab.Calcs.Assumptions'!D$4:D$30,$J7)</f>
        <v>6.4769999999999994E-2</v>
      </c>
      <c r="I7" s="157" cm="1">
        <f t="array" ref="I7">INDEX('Lab.Calcs.Assumptions'!E$4:E$30,$J7)</f>
        <v>0.23189000000000001</v>
      </c>
      <c r="J7" s="157">
        <f>MATCH(E7,'Lab.Calcs.Assumptions'!$A$4:$A$30,0)</f>
        <v>2</v>
      </c>
    </row>
    <row r="8" spans="1:10" x14ac:dyDescent="0.25">
      <c r="A8" s="157" t="s">
        <v>276</v>
      </c>
      <c r="B8" s="157" t="s">
        <v>1384</v>
      </c>
      <c r="C8" s="157" t="s">
        <v>1222</v>
      </c>
      <c r="D8" s="157" t="s">
        <v>1381</v>
      </c>
      <c r="E8" s="157" t="s">
        <v>1381</v>
      </c>
      <c r="F8" s="157" cm="1">
        <f t="array" ref="F8">INDEX('Lab.Calcs.Assumptions'!B$4:B$30,$J8)</f>
        <v>1.72E-2</v>
      </c>
      <c r="G8" s="157" cm="1">
        <f t="array" ref="G8">INDEX('Lab.Calcs.Assumptions'!C$4:C$30,$J8)</f>
        <v>1.958E-2</v>
      </c>
      <c r="H8" s="157" cm="1">
        <f t="array" ref="H8">INDEX('Lab.Calcs.Assumptions'!D$4:D$30,$J8)</f>
        <v>6.4769999999999994E-2</v>
      </c>
      <c r="I8" s="157" cm="1">
        <f t="array" ref="I8">INDEX('Lab.Calcs.Assumptions'!E$4:E$30,$J8)</f>
        <v>0.23189000000000001</v>
      </c>
      <c r="J8" s="157">
        <f>MATCH(E8,'Lab.Calcs.Assumptions'!$A$4:$A$30,0)</f>
        <v>3</v>
      </c>
    </row>
    <row r="9" spans="1:10" x14ac:dyDescent="0.25">
      <c r="A9" s="157" t="s">
        <v>274</v>
      </c>
      <c r="B9" s="157" t="s">
        <v>1383</v>
      </c>
      <c r="C9" s="157" t="s">
        <v>1222</v>
      </c>
      <c r="D9" s="157" t="s">
        <v>1234</v>
      </c>
      <c r="E9" s="157" t="s">
        <v>1234</v>
      </c>
      <c r="F9" s="157" cm="1">
        <f t="array" ref="F9">INDEX('Lab.Calcs.Assumptions'!B$4:B$30,$J9)</f>
        <v>0</v>
      </c>
      <c r="G9" s="157" cm="1">
        <f t="array" ref="G9">INDEX('Lab.Calcs.Assumptions'!C$4:C$30,$J9)</f>
        <v>0</v>
      </c>
      <c r="H9" s="157" cm="1">
        <f t="array" ref="H9">INDEX('Lab.Calcs.Assumptions'!D$4:D$30,$J9)</f>
        <v>0</v>
      </c>
      <c r="I9" s="157" cm="1">
        <f t="array" ref="I9">INDEX('Lab.Calcs.Assumptions'!E$4:E$30,$J9)</f>
        <v>0</v>
      </c>
      <c r="J9" s="157">
        <f>MATCH(E9,'Lab.Calcs.Assumptions'!$A$4:$A$30,0)</f>
        <v>4</v>
      </c>
    </row>
    <row r="10" spans="1:10" x14ac:dyDescent="0.25">
      <c r="A10" s="157" t="s">
        <v>250</v>
      </c>
      <c r="B10" s="157" t="s">
        <v>1382</v>
      </c>
      <c r="C10" s="157" t="s">
        <v>1222</v>
      </c>
      <c r="D10" s="157" t="s">
        <v>1381</v>
      </c>
      <c r="E10" s="157" t="s">
        <v>1381</v>
      </c>
      <c r="F10" s="157" cm="1">
        <f t="array" ref="F10">INDEX('Lab.Calcs.Assumptions'!B$4:B$30,$J10)</f>
        <v>1.72E-2</v>
      </c>
      <c r="G10" s="157" cm="1">
        <f t="array" ref="G10">INDEX('Lab.Calcs.Assumptions'!C$4:C$30,$J10)</f>
        <v>1.958E-2</v>
      </c>
      <c r="H10" s="157" cm="1">
        <f t="array" ref="H10">INDEX('Lab.Calcs.Assumptions'!D$4:D$30,$J10)</f>
        <v>6.4769999999999994E-2</v>
      </c>
      <c r="I10" s="157" cm="1">
        <f t="array" ref="I10">INDEX('Lab.Calcs.Assumptions'!E$4:E$30,$J10)</f>
        <v>0.23189000000000001</v>
      </c>
      <c r="J10" s="157">
        <f>MATCH(E10,'Lab.Calcs.Assumptions'!$A$4:$A$30,0)</f>
        <v>3</v>
      </c>
    </row>
    <row r="11" spans="1:10" x14ac:dyDescent="0.25">
      <c r="A11" s="157" t="s">
        <v>1380</v>
      </c>
      <c r="B11" s="157" t="s">
        <v>1379</v>
      </c>
      <c r="C11" s="157" t="s">
        <v>1222</v>
      </c>
      <c r="D11" s="157" t="s">
        <v>1234</v>
      </c>
      <c r="E11" s="157" t="s">
        <v>1234</v>
      </c>
      <c r="F11" s="157" cm="1">
        <f t="array" ref="F11">INDEX('Lab.Calcs.Assumptions'!B$4:B$30,$J11)</f>
        <v>0</v>
      </c>
      <c r="G11" s="157" cm="1">
        <f t="array" ref="G11">INDEX('Lab.Calcs.Assumptions'!C$4:C$30,$J11)</f>
        <v>0</v>
      </c>
      <c r="H11" s="157" cm="1">
        <f t="array" ref="H11">INDEX('Lab.Calcs.Assumptions'!D$4:D$30,$J11)</f>
        <v>0</v>
      </c>
      <c r="I11" s="157" cm="1">
        <f t="array" ref="I11">INDEX('Lab.Calcs.Assumptions'!E$4:E$30,$J11)</f>
        <v>0</v>
      </c>
      <c r="J11" s="157">
        <f>MATCH(E11,'Lab.Calcs.Assumptions'!$A$4:$A$30,0)</f>
        <v>4</v>
      </c>
    </row>
    <row r="12" spans="1:10" x14ac:dyDescent="0.25">
      <c r="A12" s="157" t="s">
        <v>1378</v>
      </c>
      <c r="B12" s="157" t="s">
        <v>1377</v>
      </c>
      <c r="C12" s="157" t="s">
        <v>1222</v>
      </c>
      <c r="D12" s="157" t="s">
        <v>1234</v>
      </c>
      <c r="E12" s="157" t="s">
        <v>1234</v>
      </c>
      <c r="F12" s="157" cm="1">
        <f t="array" ref="F12">INDEX('Lab.Calcs.Assumptions'!B$4:B$30,$J12)</f>
        <v>0</v>
      </c>
      <c r="G12" s="157" cm="1">
        <f t="array" ref="G12">INDEX('Lab.Calcs.Assumptions'!C$4:C$30,$J12)</f>
        <v>0</v>
      </c>
      <c r="H12" s="157" cm="1">
        <f t="array" ref="H12">INDEX('Lab.Calcs.Assumptions'!D$4:D$30,$J12)</f>
        <v>0</v>
      </c>
      <c r="I12" s="157" cm="1">
        <f t="array" ref="I12">INDEX('Lab.Calcs.Assumptions'!E$4:E$30,$J12)</f>
        <v>0</v>
      </c>
      <c r="J12" s="157">
        <f>MATCH(E12,'Lab.Calcs.Assumptions'!$A$4:$A$30,0)</f>
        <v>4</v>
      </c>
    </row>
    <row r="13" spans="1:10" x14ac:dyDescent="0.25">
      <c r="A13" s="157" t="s">
        <v>1376</v>
      </c>
      <c r="B13" s="157" t="s">
        <v>1375</v>
      </c>
      <c r="C13" s="157" t="s">
        <v>1222</v>
      </c>
      <c r="D13" s="157" t="s">
        <v>1234</v>
      </c>
      <c r="E13" s="157" t="s">
        <v>1234</v>
      </c>
      <c r="F13" s="157" cm="1">
        <f t="array" ref="F13">INDEX('Lab.Calcs.Assumptions'!B$4:B$30,$J13)</f>
        <v>0</v>
      </c>
      <c r="G13" s="157" cm="1">
        <f t="array" ref="G13">INDEX('Lab.Calcs.Assumptions'!C$4:C$30,$J13)</f>
        <v>0</v>
      </c>
      <c r="H13" s="157" cm="1">
        <f t="array" ref="H13">INDEX('Lab.Calcs.Assumptions'!D$4:D$30,$J13)</f>
        <v>0</v>
      </c>
      <c r="I13" s="157" cm="1">
        <f t="array" ref="I13">INDEX('Lab.Calcs.Assumptions'!E$4:E$30,$J13)</f>
        <v>0</v>
      </c>
      <c r="J13" s="157">
        <f>MATCH(E13,'Lab.Calcs.Assumptions'!$A$4:$A$30,0)</f>
        <v>4</v>
      </c>
    </row>
    <row r="14" spans="1:10" x14ac:dyDescent="0.25">
      <c r="A14" s="157" t="s">
        <v>238</v>
      </c>
      <c r="B14" s="157" t="s">
        <v>1374</v>
      </c>
      <c r="C14" s="157" t="s">
        <v>1222</v>
      </c>
      <c r="D14" s="157" t="s">
        <v>1234</v>
      </c>
      <c r="E14" s="157" t="s">
        <v>1234</v>
      </c>
      <c r="F14" s="157" cm="1">
        <f t="array" ref="F14">INDEX('Lab.Calcs.Assumptions'!B$4:B$30,$J14)</f>
        <v>0</v>
      </c>
      <c r="G14" s="157" cm="1">
        <f t="array" ref="G14">INDEX('Lab.Calcs.Assumptions'!C$4:C$30,$J14)</f>
        <v>0</v>
      </c>
      <c r="H14" s="157" cm="1">
        <f t="array" ref="H14">INDEX('Lab.Calcs.Assumptions'!D$4:D$30,$J14)</f>
        <v>0</v>
      </c>
      <c r="I14" s="157" cm="1">
        <f t="array" ref="I14">INDEX('Lab.Calcs.Assumptions'!E$4:E$30,$J14)</f>
        <v>0</v>
      </c>
      <c r="J14" s="157">
        <f>MATCH(E14,'Lab.Calcs.Assumptions'!$A$4:$A$30,0)</f>
        <v>4</v>
      </c>
    </row>
    <row r="15" spans="1:10" x14ac:dyDescent="0.25">
      <c r="A15" s="157" t="s">
        <v>1373</v>
      </c>
      <c r="B15" s="157" t="s">
        <v>1372</v>
      </c>
      <c r="C15" s="157" t="s">
        <v>1222</v>
      </c>
      <c r="D15" s="157" t="s">
        <v>1234</v>
      </c>
      <c r="E15" s="157" t="s">
        <v>1234</v>
      </c>
      <c r="F15" s="157" cm="1">
        <f t="array" ref="F15">INDEX('Lab.Calcs.Assumptions'!B$4:B$30,$J15)</f>
        <v>0</v>
      </c>
      <c r="G15" s="157" cm="1">
        <f t="array" ref="G15">INDEX('Lab.Calcs.Assumptions'!C$4:C$30,$J15)</f>
        <v>0</v>
      </c>
      <c r="H15" s="157" cm="1">
        <f t="array" ref="H15">INDEX('Lab.Calcs.Assumptions'!D$4:D$30,$J15)</f>
        <v>0</v>
      </c>
      <c r="I15" s="157" cm="1">
        <f t="array" ref="I15">INDEX('Lab.Calcs.Assumptions'!E$4:E$30,$J15)</f>
        <v>0</v>
      </c>
      <c r="J15" s="157">
        <f>MATCH(E15,'Lab.Calcs.Assumptions'!$A$4:$A$30,0)</f>
        <v>4</v>
      </c>
    </row>
    <row r="16" spans="1:10" x14ac:dyDescent="0.25">
      <c r="A16" s="157" t="s">
        <v>1371</v>
      </c>
      <c r="B16" s="157" t="s">
        <v>1370</v>
      </c>
      <c r="C16" s="157" t="s">
        <v>1222</v>
      </c>
      <c r="D16" s="157" t="s">
        <v>1234</v>
      </c>
      <c r="E16" s="157" t="s">
        <v>1234</v>
      </c>
      <c r="F16" s="157" cm="1">
        <f t="array" ref="F16">INDEX('Lab.Calcs.Assumptions'!B$4:B$30,$J16)</f>
        <v>0</v>
      </c>
      <c r="G16" s="157" cm="1">
        <f t="array" ref="G16">INDEX('Lab.Calcs.Assumptions'!C$4:C$30,$J16)</f>
        <v>0</v>
      </c>
      <c r="H16" s="157" cm="1">
        <f t="array" ref="H16">INDEX('Lab.Calcs.Assumptions'!D$4:D$30,$J16)</f>
        <v>0</v>
      </c>
      <c r="I16" s="157" cm="1">
        <f t="array" ref="I16">INDEX('Lab.Calcs.Assumptions'!E$4:E$30,$J16)</f>
        <v>0</v>
      </c>
      <c r="J16" s="157">
        <f>MATCH(E16,'Lab.Calcs.Assumptions'!$A$4:$A$30,0)</f>
        <v>4</v>
      </c>
    </row>
    <row r="17" spans="1:10" x14ac:dyDescent="0.25">
      <c r="A17" s="157" t="s">
        <v>1369</v>
      </c>
      <c r="B17" s="157" t="s">
        <v>1368</v>
      </c>
      <c r="C17" s="157" t="s">
        <v>1222</v>
      </c>
      <c r="D17" s="157" t="s">
        <v>1234</v>
      </c>
      <c r="E17" s="157" t="s">
        <v>1234</v>
      </c>
      <c r="F17" s="157" cm="1">
        <f t="array" ref="F17">INDEX('Lab.Calcs.Assumptions'!B$4:B$30,$J17)</f>
        <v>0</v>
      </c>
      <c r="G17" s="157" cm="1">
        <f t="array" ref="G17">INDEX('Lab.Calcs.Assumptions'!C$4:C$30,$J17)</f>
        <v>0</v>
      </c>
      <c r="H17" s="157" cm="1">
        <f t="array" ref="H17">INDEX('Lab.Calcs.Assumptions'!D$4:D$30,$J17)</f>
        <v>0</v>
      </c>
      <c r="I17" s="157" cm="1">
        <f t="array" ref="I17">INDEX('Lab.Calcs.Assumptions'!E$4:E$30,$J17)</f>
        <v>0</v>
      </c>
      <c r="J17" s="157">
        <f>MATCH(E17,'Lab.Calcs.Assumptions'!$A$4:$A$30,0)</f>
        <v>4</v>
      </c>
    </row>
    <row r="18" spans="1:10" x14ac:dyDescent="0.25">
      <c r="A18" s="157" t="s">
        <v>1367</v>
      </c>
      <c r="B18" s="157" t="s">
        <v>1366</v>
      </c>
      <c r="C18" s="157" t="s">
        <v>1222</v>
      </c>
      <c r="D18" s="157" t="s">
        <v>1234</v>
      </c>
      <c r="E18" s="157" t="s">
        <v>1234</v>
      </c>
      <c r="F18" s="157" cm="1">
        <f t="array" ref="F18">INDEX('Lab.Calcs.Assumptions'!B$4:B$30,$J18)</f>
        <v>0</v>
      </c>
      <c r="G18" s="157" cm="1">
        <f t="array" ref="G18">INDEX('Lab.Calcs.Assumptions'!C$4:C$30,$J18)</f>
        <v>0</v>
      </c>
      <c r="H18" s="157" cm="1">
        <f t="array" ref="H18">INDEX('Lab.Calcs.Assumptions'!D$4:D$30,$J18)</f>
        <v>0</v>
      </c>
      <c r="I18" s="157" cm="1">
        <f t="array" ref="I18">INDEX('Lab.Calcs.Assumptions'!E$4:E$30,$J18)</f>
        <v>0</v>
      </c>
      <c r="J18" s="157">
        <f>MATCH(E18,'Lab.Calcs.Assumptions'!$A$4:$A$30,0)</f>
        <v>4</v>
      </c>
    </row>
    <row r="19" spans="1:10" x14ac:dyDescent="0.25">
      <c r="A19" s="157" t="s">
        <v>244</v>
      </c>
      <c r="B19" s="157" t="s">
        <v>1365</v>
      </c>
      <c r="C19" s="157" t="s">
        <v>1222</v>
      </c>
      <c r="D19" s="157" t="s">
        <v>1342</v>
      </c>
      <c r="E19" s="157" t="s">
        <v>1363</v>
      </c>
      <c r="F19" s="157" cm="1">
        <f t="array" ref="F19">INDEX('Lab.Calcs.Assumptions'!B$4:B$30,$J19)</f>
        <v>1.941E-2</v>
      </c>
      <c r="G19" s="157" cm="1">
        <f t="array" ref="G19">INDEX('Lab.Calcs.Assumptions'!C$4:C$30,$J19)</f>
        <v>2.2089999999999999E-2</v>
      </c>
      <c r="H19" s="157" cm="1">
        <f t="array" ref="H19">INDEX('Lab.Calcs.Assumptions'!D$4:D$30,$J19)</f>
        <v>7.3090000000000002E-2</v>
      </c>
      <c r="I19" s="157" cm="1">
        <f t="array" ref="I19">INDEX('Lab.Calcs.Assumptions'!E$4:E$30,$J19)</f>
        <v>0.26167000000000001</v>
      </c>
      <c r="J19" s="157">
        <f>MATCH(E19,'Lab.Calcs.Assumptions'!$A$4:$A$30,0)</f>
        <v>5</v>
      </c>
    </row>
    <row r="20" spans="1:10" x14ac:dyDescent="0.25">
      <c r="A20" s="157" t="s">
        <v>242</v>
      </c>
      <c r="B20" s="157" t="s">
        <v>1364</v>
      </c>
      <c r="C20" s="157" t="s">
        <v>1222</v>
      </c>
      <c r="D20" s="157" t="s">
        <v>1342</v>
      </c>
      <c r="E20" s="157" t="s">
        <v>1363</v>
      </c>
      <c r="F20" s="157" cm="1">
        <f t="array" ref="F20">INDEX('Lab.Calcs.Assumptions'!B$4:B$30,$J20)</f>
        <v>1.941E-2</v>
      </c>
      <c r="G20" s="157" cm="1">
        <f t="array" ref="G20">INDEX('Lab.Calcs.Assumptions'!C$4:C$30,$J20)</f>
        <v>2.2089999999999999E-2</v>
      </c>
      <c r="H20" s="157" cm="1">
        <f t="array" ref="H20">INDEX('Lab.Calcs.Assumptions'!D$4:D$30,$J20)</f>
        <v>7.3090000000000002E-2</v>
      </c>
      <c r="I20" s="157" cm="1">
        <f t="array" ref="I20">INDEX('Lab.Calcs.Assumptions'!E$4:E$30,$J20)</f>
        <v>0.26167000000000001</v>
      </c>
      <c r="J20" s="157">
        <f>MATCH(E20,'Lab.Calcs.Assumptions'!$A$4:$A$30,0)</f>
        <v>5</v>
      </c>
    </row>
    <row r="21" spans="1:10" x14ac:dyDescent="0.25">
      <c r="A21" s="157" t="s">
        <v>1362</v>
      </c>
      <c r="B21" s="157" t="s">
        <v>1361</v>
      </c>
      <c r="C21" s="157" t="s">
        <v>1222</v>
      </c>
      <c r="D21" s="157" t="s">
        <v>1342</v>
      </c>
      <c r="E21" s="157" t="s">
        <v>1346</v>
      </c>
      <c r="F21" s="157" cm="1">
        <f t="array" ref="F21">INDEX('Lab.Calcs.Assumptions'!B$4:B$30,$J21)</f>
        <v>1.941E-2</v>
      </c>
      <c r="G21" s="157" cm="1">
        <f t="array" ref="G21">INDEX('Lab.Calcs.Assumptions'!C$4:C$30,$J21)</f>
        <v>2.2089999999999999E-2</v>
      </c>
      <c r="H21" s="157" cm="1">
        <f t="array" ref="H21">INDEX('Lab.Calcs.Assumptions'!D$4:D$30,$J21)</f>
        <v>7.3090000000000002E-2</v>
      </c>
      <c r="I21" s="157" cm="1">
        <f t="array" ref="I21">INDEX('Lab.Calcs.Assumptions'!E$4:E$30,$J21)</f>
        <v>0.26167000000000001</v>
      </c>
      <c r="J21" s="157">
        <f>MATCH(E21,'Lab.Calcs.Assumptions'!$A$4:$A$30,0)</f>
        <v>6</v>
      </c>
    </row>
    <row r="22" spans="1:10" x14ac:dyDescent="0.25">
      <c r="A22" s="157" t="s">
        <v>1360</v>
      </c>
      <c r="B22" s="157" t="s">
        <v>1359</v>
      </c>
      <c r="C22" s="157" t="s">
        <v>1222</v>
      </c>
      <c r="D22" s="157" t="s">
        <v>1342</v>
      </c>
      <c r="E22" s="157" t="s">
        <v>1346</v>
      </c>
      <c r="F22" s="157" cm="1">
        <f t="array" ref="F22">INDEX('Lab.Calcs.Assumptions'!B$4:B$30,$J22)</f>
        <v>1.941E-2</v>
      </c>
      <c r="G22" s="157" cm="1">
        <f t="array" ref="G22">INDEX('Lab.Calcs.Assumptions'!C$4:C$30,$J22)</f>
        <v>2.2089999999999999E-2</v>
      </c>
      <c r="H22" s="157" cm="1">
        <f t="array" ref="H22">INDEX('Lab.Calcs.Assumptions'!D$4:D$30,$J22)</f>
        <v>7.3090000000000002E-2</v>
      </c>
      <c r="I22" s="157" cm="1">
        <f t="array" ref="I22">INDEX('Lab.Calcs.Assumptions'!E$4:E$30,$J22)</f>
        <v>0.26167000000000001</v>
      </c>
      <c r="J22" s="157">
        <f>MATCH(E22,'Lab.Calcs.Assumptions'!$A$4:$A$30,0)</f>
        <v>6</v>
      </c>
    </row>
    <row r="23" spans="1:10" x14ac:dyDescent="0.25">
      <c r="A23" s="157" t="s">
        <v>1358</v>
      </c>
      <c r="B23" s="157" t="s">
        <v>1357</v>
      </c>
      <c r="C23" s="157" t="s">
        <v>1222</v>
      </c>
      <c r="D23" s="157" t="s">
        <v>1342</v>
      </c>
      <c r="E23" s="157" t="s">
        <v>1346</v>
      </c>
      <c r="F23" s="157" cm="1">
        <f t="array" ref="F23">INDEX('Lab.Calcs.Assumptions'!B$4:B$30,$J23)</f>
        <v>1.941E-2</v>
      </c>
      <c r="G23" s="157" cm="1">
        <f t="array" ref="G23">INDEX('Lab.Calcs.Assumptions'!C$4:C$30,$J23)</f>
        <v>2.2089999999999999E-2</v>
      </c>
      <c r="H23" s="157" cm="1">
        <f t="array" ref="H23">INDEX('Lab.Calcs.Assumptions'!D$4:D$30,$J23)</f>
        <v>7.3090000000000002E-2</v>
      </c>
      <c r="I23" s="157" cm="1">
        <f t="array" ref="I23">INDEX('Lab.Calcs.Assumptions'!E$4:E$30,$J23)</f>
        <v>0.26167000000000001</v>
      </c>
      <c r="J23" s="157">
        <f>MATCH(E23,'Lab.Calcs.Assumptions'!$A$4:$A$30,0)</f>
        <v>6</v>
      </c>
    </row>
    <row r="24" spans="1:10" x14ac:dyDescent="0.25">
      <c r="A24" s="157" t="s">
        <v>1356</v>
      </c>
      <c r="B24" s="157" t="s">
        <v>1355</v>
      </c>
      <c r="C24" s="157" t="s">
        <v>1222</v>
      </c>
      <c r="D24" s="157" t="s">
        <v>1342</v>
      </c>
      <c r="E24" s="157" t="s">
        <v>1346</v>
      </c>
      <c r="F24" s="157" cm="1">
        <f t="array" ref="F24">INDEX('Lab.Calcs.Assumptions'!B$4:B$30,$J24)</f>
        <v>1.941E-2</v>
      </c>
      <c r="G24" s="157" cm="1">
        <f t="array" ref="G24">INDEX('Lab.Calcs.Assumptions'!C$4:C$30,$J24)</f>
        <v>2.2089999999999999E-2</v>
      </c>
      <c r="H24" s="157" cm="1">
        <f t="array" ref="H24">INDEX('Lab.Calcs.Assumptions'!D$4:D$30,$J24)</f>
        <v>7.3090000000000002E-2</v>
      </c>
      <c r="I24" s="157" cm="1">
        <f t="array" ref="I24">INDEX('Lab.Calcs.Assumptions'!E$4:E$30,$J24)</f>
        <v>0.26167000000000001</v>
      </c>
      <c r="J24" s="157">
        <f>MATCH(E24,'Lab.Calcs.Assumptions'!$A$4:$A$30,0)</f>
        <v>6</v>
      </c>
    </row>
    <row r="25" spans="1:10" x14ac:dyDescent="0.25">
      <c r="A25" s="157" t="s">
        <v>1354</v>
      </c>
      <c r="B25" s="157" t="s">
        <v>1353</v>
      </c>
      <c r="C25" s="157" t="s">
        <v>1222</v>
      </c>
      <c r="D25" s="157" t="s">
        <v>1342</v>
      </c>
      <c r="E25" s="157" t="s">
        <v>1346</v>
      </c>
      <c r="F25" s="157" cm="1">
        <f t="array" ref="F25">INDEX('Lab.Calcs.Assumptions'!B$4:B$30,$J25)</f>
        <v>1.941E-2</v>
      </c>
      <c r="G25" s="157" cm="1">
        <f t="array" ref="G25">INDEX('Lab.Calcs.Assumptions'!C$4:C$30,$J25)</f>
        <v>2.2089999999999999E-2</v>
      </c>
      <c r="H25" s="157" cm="1">
        <f t="array" ref="H25">INDEX('Lab.Calcs.Assumptions'!D$4:D$30,$J25)</f>
        <v>7.3090000000000002E-2</v>
      </c>
      <c r="I25" s="157" cm="1">
        <f t="array" ref="I25">INDEX('Lab.Calcs.Assumptions'!E$4:E$30,$J25)</f>
        <v>0.26167000000000001</v>
      </c>
      <c r="J25" s="157">
        <f>MATCH(E25,'Lab.Calcs.Assumptions'!$A$4:$A$30,0)</f>
        <v>6</v>
      </c>
    </row>
    <row r="26" spans="1:10" x14ac:dyDescent="0.25">
      <c r="A26" s="157" t="s">
        <v>1352</v>
      </c>
      <c r="B26" s="157" t="s">
        <v>1351</v>
      </c>
      <c r="C26" s="157" t="s">
        <v>1222</v>
      </c>
      <c r="D26" s="157" t="s">
        <v>1342</v>
      </c>
      <c r="E26" s="157" t="s">
        <v>1346</v>
      </c>
      <c r="F26" s="157" cm="1">
        <f t="array" ref="F26">INDEX('Lab.Calcs.Assumptions'!B$4:B$30,$J26)</f>
        <v>1.941E-2</v>
      </c>
      <c r="G26" s="157" cm="1">
        <f t="array" ref="G26">INDEX('Lab.Calcs.Assumptions'!C$4:C$30,$J26)</f>
        <v>2.2089999999999999E-2</v>
      </c>
      <c r="H26" s="157" cm="1">
        <f t="array" ref="H26">INDEX('Lab.Calcs.Assumptions'!D$4:D$30,$J26)</f>
        <v>7.3090000000000002E-2</v>
      </c>
      <c r="I26" s="157" cm="1">
        <f t="array" ref="I26">INDEX('Lab.Calcs.Assumptions'!E$4:E$30,$J26)</f>
        <v>0.26167000000000001</v>
      </c>
      <c r="J26" s="157">
        <f>MATCH(E26,'Lab.Calcs.Assumptions'!$A$4:$A$30,0)</f>
        <v>6</v>
      </c>
    </row>
    <row r="27" spans="1:10" x14ac:dyDescent="0.25">
      <c r="A27" s="157" t="s">
        <v>1350</v>
      </c>
      <c r="B27" s="157" t="s">
        <v>1349</v>
      </c>
      <c r="C27" s="157" t="s">
        <v>1222</v>
      </c>
      <c r="D27" s="157" t="s">
        <v>1342</v>
      </c>
      <c r="E27" s="157" t="s">
        <v>1346</v>
      </c>
      <c r="F27" s="157" cm="1">
        <f t="array" ref="F27">INDEX('Lab.Calcs.Assumptions'!B$4:B$30,$J27)</f>
        <v>1.941E-2</v>
      </c>
      <c r="G27" s="157" cm="1">
        <f t="array" ref="G27">INDEX('Lab.Calcs.Assumptions'!C$4:C$30,$J27)</f>
        <v>2.2089999999999999E-2</v>
      </c>
      <c r="H27" s="157" cm="1">
        <f t="array" ref="H27">INDEX('Lab.Calcs.Assumptions'!D$4:D$30,$J27)</f>
        <v>7.3090000000000002E-2</v>
      </c>
      <c r="I27" s="157" cm="1">
        <f t="array" ref="I27">INDEX('Lab.Calcs.Assumptions'!E$4:E$30,$J27)</f>
        <v>0.26167000000000001</v>
      </c>
      <c r="J27" s="157">
        <f>MATCH(E27,'Lab.Calcs.Assumptions'!$A$4:$A$30,0)</f>
        <v>6</v>
      </c>
    </row>
    <row r="28" spans="1:10" x14ac:dyDescent="0.25">
      <c r="A28" s="157" t="s">
        <v>1348</v>
      </c>
      <c r="B28" s="157" t="s">
        <v>1347</v>
      </c>
      <c r="C28" s="157" t="s">
        <v>1222</v>
      </c>
      <c r="D28" s="157" t="s">
        <v>1342</v>
      </c>
      <c r="E28" s="157" t="s">
        <v>1346</v>
      </c>
      <c r="F28" s="157" cm="1">
        <f t="array" ref="F28">INDEX('Lab.Calcs.Assumptions'!B$4:B$30,$J28)</f>
        <v>1.941E-2</v>
      </c>
      <c r="G28" s="157" cm="1">
        <f t="array" ref="G28">INDEX('Lab.Calcs.Assumptions'!C$4:C$30,$J28)</f>
        <v>2.2089999999999999E-2</v>
      </c>
      <c r="H28" s="157" cm="1">
        <f t="array" ref="H28">INDEX('Lab.Calcs.Assumptions'!D$4:D$30,$J28)</f>
        <v>7.3090000000000002E-2</v>
      </c>
      <c r="I28" s="157" cm="1">
        <f t="array" ref="I28">INDEX('Lab.Calcs.Assumptions'!E$4:E$30,$J28)</f>
        <v>0.26167000000000001</v>
      </c>
      <c r="J28" s="157">
        <f>MATCH(E28,'Lab.Calcs.Assumptions'!$A$4:$A$30,0)</f>
        <v>6</v>
      </c>
    </row>
    <row r="29" spans="1:10" x14ac:dyDescent="0.25">
      <c r="A29" s="157" t="s">
        <v>223</v>
      </c>
      <c r="B29" s="157" t="s">
        <v>1345</v>
      </c>
      <c r="C29" s="157" t="s">
        <v>1222</v>
      </c>
      <c r="D29" s="157" t="s">
        <v>1342</v>
      </c>
      <c r="E29" s="157" t="s">
        <v>1344</v>
      </c>
      <c r="F29" s="157" cm="1">
        <f t="array" ref="F29">INDEX('Lab.Calcs.Assumptions'!B$4:B$30,$J29)</f>
        <v>1.941E-2</v>
      </c>
      <c r="G29" s="157" cm="1">
        <f t="array" ref="G29">INDEX('Lab.Calcs.Assumptions'!C$4:C$30,$J29)</f>
        <v>2.2089999999999999E-2</v>
      </c>
      <c r="H29" s="157" cm="1">
        <f t="array" ref="H29">INDEX('Lab.Calcs.Assumptions'!D$4:D$30,$J29)</f>
        <v>7.3090000000000002E-2</v>
      </c>
      <c r="I29" s="157" cm="1">
        <f t="array" ref="I29">INDEX('Lab.Calcs.Assumptions'!E$4:E$30,$J29)</f>
        <v>0.26167000000000001</v>
      </c>
      <c r="J29" s="157">
        <f>MATCH(E29,'Lab.Calcs.Assumptions'!$A$4:$A$30,0)</f>
        <v>7</v>
      </c>
    </row>
    <row r="30" spans="1:10" x14ac:dyDescent="0.25">
      <c r="A30" s="157" t="s">
        <v>221</v>
      </c>
      <c r="B30" s="157" t="s">
        <v>1343</v>
      </c>
      <c r="C30" s="157" t="s">
        <v>1222</v>
      </c>
      <c r="D30" s="157" t="s">
        <v>1342</v>
      </c>
      <c r="E30" s="157" t="s">
        <v>1341</v>
      </c>
      <c r="F30" s="157" cm="1">
        <f t="array" ref="F30">INDEX('Lab.Calcs.Assumptions'!B$4:B$30,$J30)</f>
        <v>1.941E-2</v>
      </c>
      <c r="G30" s="157" cm="1">
        <f t="array" ref="G30">INDEX('Lab.Calcs.Assumptions'!C$4:C$30,$J30)</f>
        <v>2.2089999999999999E-2</v>
      </c>
      <c r="H30" s="157" cm="1">
        <f t="array" ref="H30">INDEX('Lab.Calcs.Assumptions'!D$4:D$30,$J30)</f>
        <v>7.3090000000000002E-2</v>
      </c>
      <c r="I30" s="157" cm="1">
        <f t="array" ref="I30">INDEX('Lab.Calcs.Assumptions'!E$4:E$30,$J30)</f>
        <v>0.26167000000000001</v>
      </c>
      <c r="J30" s="157">
        <f>MATCH(E30,'Lab.Calcs.Assumptions'!$A$4:$A$30,0)</f>
        <v>8</v>
      </c>
    </row>
    <row r="31" spans="1:10" x14ac:dyDescent="0.25">
      <c r="A31" s="157" t="s">
        <v>1340</v>
      </c>
      <c r="B31" s="157" t="s">
        <v>1339</v>
      </c>
      <c r="C31" s="157" t="s">
        <v>1222</v>
      </c>
      <c r="D31" s="157" t="s">
        <v>1321</v>
      </c>
      <c r="E31" s="157" t="s">
        <v>1321</v>
      </c>
      <c r="F31" s="157" cm="1">
        <f t="array" ref="F31">INDEX('Lab.Calcs.Assumptions'!B$4:B$30,$J31)</f>
        <v>2.3769999999999999E-2</v>
      </c>
      <c r="G31" s="157" cm="1">
        <f t="array" ref="G31">INDEX('Lab.Calcs.Assumptions'!C$4:C$30,$J31)</f>
        <v>2.7050000000000001E-2</v>
      </c>
      <c r="H31" s="157" cm="1">
        <f t="array" ref="H31">INDEX('Lab.Calcs.Assumptions'!D$4:D$30,$J31)</f>
        <v>8.949E-2</v>
      </c>
      <c r="I31" s="157" cm="1">
        <f t="array" ref="I31">INDEX('Lab.Calcs.Assumptions'!E$4:E$30,$J31)</f>
        <v>0.32040000000000002</v>
      </c>
      <c r="J31" s="157">
        <f>MATCH(E31,'Lab.Calcs.Assumptions'!$A$4:$A$30,0)</f>
        <v>9</v>
      </c>
    </row>
    <row r="32" spans="1:10" x14ac:dyDescent="0.25">
      <c r="A32" s="157" t="s">
        <v>1338</v>
      </c>
      <c r="B32" s="157" t="s">
        <v>1337</v>
      </c>
      <c r="C32" s="157" t="s">
        <v>1222</v>
      </c>
      <c r="D32" s="157" t="s">
        <v>1321</v>
      </c>
      <c r="E32" s="157" t="s">
        <v>1321</v>
      </c>
      <c r="F32" s="157" cm="1">
        <f t="array" ref="F32">INDEX('Lab.Calcs.Assumptions'!B$4:B$30,$J32)</f>
        <v>2.3769999999999999E-2</v>
      </c>
      <c r="G32" s="157" cm="1">
        <f t="array" ref="G32">INDEX('Lab.Calcs.Assumptions'!C$4:C$30,$J32)</f>
        <v>2.7050000000000001E-2</v>
      </c>
      <c r="H32" s="157" cm="1">
        <f t="array" ref="H32">INDEX('Lab.Calcs.Assumptions'!D$4:D$30,$J32)</f>
        <v>8.949E-2</v>
      </c>
      <c r="I32" s="157" cm="1">
        <f t="array" ref="I32">INDEX('Lab.Calcs.Assumptions'!E$4:E$30,$J32)</f>
        <v>0.32040000000000002</v>
      </c>
      <c r="J32" s="157">
        <f>MATCH(E32,'Lab.Calcs.Assumptions'!$A$4:$A$30,0)</f>
        <v>9</v>
      </c>
    </row>
    <row r="33" spans="1:10" x14ac:dyDescent="0.25">
      <c r="A33" s="157" t="s">
        <v>246</v>
      </c>
      <c r="B33" s="157" t="s">
        <v>1336</v>
      </c>
      <c r="C33" s="157" t="s">
        <v>1222</v>
      </c>
      <c r="D33" s="157" t="s">
        <v>1321</v>
      </c>
      <c r="E33" s="157" t="s">
        <v>1321</v>
      </c>
      <c r="F33" s="157" cm="1">
        <f t="array" ref="F33">INDEX('Lab.Calcs.Assumptions'!B$4:B$30,$J33)</f>
        <v>2.3769999999999999E-2</v>
      </c>
      <c r="G33" s="157" cm="1">
        <f t="array" ref="G33">INDEX('Lab.Calcs.Assumptions'!C$4:C$30,$J33)</f>
        <v>2.7050000000000001E-2</v>
      </c>
      <c r="H33" s="157" cm="1">
        <f t="array" ref="H33">INDEX('Lab.Calcs.Assumptions'!D$4:D$30,$J33)</f>
        <v>8.949E-2</v>
      </c>
      <c r="I33" s="157" cm="1">
        <f t="array" ref="I33">INDEX('Lab.Calcs.Assumptions'!E$4:E$30,$J33)</f>
        <v>0.32040000000000002</v>
      </c>
      <c r="J33" s="157">
        <f>MATCH(E33,'Lab.Calcs.Assumptions'!$A$4:$A$30,0)</f>
        <v>9</v>
      </c>
    </row>
    <row r="34" spans="1:10" x14ac:dyDescent="0.25">
      <c r="A34" s="157" t="s">
        <v>1335</v>
      </c>
      <c r="B34" s="157" t="s">
        <v>1334</v>
      </c>
      <c r="C34" s="157" t="s">
        <v>1222</v>
      </c>
      <c r="D34" s="157" t="s">
        <v>1321</v>
      </c>
      <c r="E34" s="157" t="s">
        <v>1321</v>
      </c>
      <c r="F34" s="157" cm="1">
        <f t="array" ref="F34">INDEX('Lab.Calcs.Assumptions'!B$4:B$30,$J34)</f>
        <v>2.3769999999999999E-2</v>
      </c>
      <c r="G34" s="157" cm="1">
        <f t="array" ref="G34">INDEX('Lab.Calcs.Assumptions'!C$4:C$30,$J34)</f>
        <v>2.7050000000000001E-2</v>
      </c>
      <c r="H34" s="157" cm="1">
        <f t="array" ref="H34">INDEX('Lab.Calcs.Assumptions'!D$4:D$30,$J34)</f>
        <v>8.949E-2</v>
      </c>
      <c r="I34" s="157" cm="1">
        <f t="array" ref="I34">INDEX('Lab.Calcs.Assumptions'!E$4:E$30,$J34)</f>
        <v>0.32040000000000002</v>
      </c>
      <c r="J34" s="157">
        <f>MATCH(E34,'Lab.Calcs.Assumptions'!$A$4:$A$30,0)</f>
        <v>9</v>
      </c>
    </row>
    <row r="35" spans="1:10" x14ac:dyDescent="0.25">
      <c r="A35" s="157" t="s">
        <v>1333</v>
      </c>
      <c r="B35" s="157" t="s">
        <v>1332</v>
      </c>
      <c r="C35" s="157" t="s">
        <v>1222</v>
      </c>
      <c r="D35" s="157" t="s">
        <v>1321</v>
      </c>
      <c r="E35" s="157" t="s">
        <v>1321</v>
      </c>
      <c r="F35" s="157" cm="1">
        <f t="array" ref="F35">INDEX('Lab.Calcs.Assumptions'!B$4:B$30,$J35)</f>
        <v>2.3769999999999999E-2</v>
      </c>
      <c r="G35" s="157" cm="1">
        <f t="array" ref="G35">INDEX('Lab.Calcs.Assumptions'!C$4:C$30,$J35)</f>
        <v>2.7050000000000001E-2</v>
      </c>
      <c r="H35" s="157" cm="1">
        <f t="array" ref="H35">INDEX('Lab.Calcs.Assumptions'!D$4:D$30,$J35)</f>
        <v>8.949E-2</v>
      </c>
      <c r="I35" s="157" cm="1">
        <f t="array" ref="I35">INDEX('Lab.Calcs.Assumptions'!E$4:E$30,$J35)</f>
        <v>0.32040000000000002</v>
      </c>
      <c r="J35" s="157">
        <f>MATCH(E35,'Lab.Calcs.Assumptions'!$A$4:$A$30,0)</f>
        <v>9</v>
      </c>
    </row>
    <row r="36" spans="1:10" x14ac:dyDescent="0.25">
      <c r="A36" s="157" t="s">
        <v>1331</v>
      </c>
      <c r="B36" s="157" t="s">
        <v>1330</v>
      </c>
      <c r="C36" s="157" t="s">
        <v>1222</v>
      </c>
      <c r="D36" s="157" t="s">
        <v>1321</v>
      </c>
      <c r="E36" s="157" t="s">
        <v>1321</v>
      </c>
      <c r="F36" s="157" cm="1">
        <f t="array" ref="F36">INDEX('Lab.Calcs.Assumptions'!B$4:B$30,$J36)</f>
        <v>2.3769999999999999E-2</v>
      </c>
      <c r="G36" s="157" cm="1">
        <f t="array" ref="G36">INDEX('Lab.Calcs.Assumptions'!C$4:C$30,$J36)</f>
        <v>2.7050000000000001E-2</v>
      </c>
      <c r="H36" s="157" cm="1">
        <f t="array" ref="H36">INDEX('Lab.Calcs.Assumptions'!D$4:D$30,$J36)</f>
        <v>8.949E-2</v>
      </c>
      <c r="I36" s="157" cm="1">
        <f t="array" ref="I36">INDEX('Lab.Calcs.Assumptions'!E$4:E$30,$J36)</f>
        <v>0.32040000000000002</v>
      </c>
      <c r="J36" s="157">
        <f>MATCH(E36,'Lab.Calcs.Assumptions'!$A$4:$A$30,0)</f>
        <v>9</v>
      </c>
    </row>
    <row r="37" spans="1:10" x14ac:dyDescent="0.25">
      <c r="A37" s="157" t="s">
        <v>1329</v>
      </c>
      <c r="B37" s="157" t="s">
        <v>1328</v>
      </c>
      <c r="C37" s="157" t="s">
        <v>1222</v>
      </c>
      <c r="D37" s="157" t="s">
        <v>1321</v>
      </c>
      <c r="E37" s="157" t="s">
        <v>1321</v>
      </c>
      <c r="F37" s="157" cm="1">
        <f t="array" ref="F37">INDEX('Lab.Calcs.Assumptions'!B$4:B$30,$J37)</f>
        <v>2.3769999999999999E-2</v>
      </c>
      <c r="G37" s="157" cm="1">
        <f t="array" ref="G37">INDEX('Lab.Calcs.Assumptions'!C$4:C$30,$J37)</f>
        <v>2.7050000000000001E-2</v>
      </c>
      <c r="H37" s="157" cm="1">
        <f t="array" ref="H37">INDEX('Lab.Calcs.Assumptions'!D$4:D$30,$J37)</f>
        <v>8.949E-2</v>
      </c>
      <c r="I37" s="157" cm="1">
        <f t="array" ref="I37">INDEX('Lab.Calcs.Assumptions'!E$4:E$30,$J37)</f>
        <v>0.32040000000000002</v>
      </c>
      <c r="J37" s="157">
        <f>MATCH(E37,'Lab.Calcs.Assumptions'!$A$4:$A$30,0)</f>
        <v>9</v>
      </c>
    </row>
    <row r="38" spans="1:10" x14ac:dyDescent="0.25">
      <c r="A38" s="157" t="s">
        <v>1327</v>
      </c>
      <c r="B38" s="157" t="s">
        <v>1326</v>
      </c>
      <c r="C38" s="157" t="s">
        <v>1222</v>
      </c>
      <c r="D38" s="157" t="s">
        <v>1321</v>
      </c>
      <c r="E38" s="157" t="s">
        <v>1321</v>
      </c>
      <c r="F38" s="157" cm="1">
        <f t="array" ref="F38">INDEX('Lab.Calcs.Assumptions'!B$4:B$30,$J38)</f>
        <v>2.3769999999999999E-2</v>
      </c>
      <c r="G38" s="157" cm="1">
        <f t="array" ref="G38">INDEX('Lab.Calcs.Assumptions'!C$4:C$30,$J38)</f>
        <v>2.7050000000000001E-2</v>
      </c>
      <c r="H38" s="157" cm="1">
        <f t="array" ref="H38">INDEX('Lab.Calcs.Assumptions'!D$4:D$30,$J38)</f>
        <v>8.949E-2</v>
      </c>
      <c r="I38" s="157" cm="1">
        <f t="array" ref="I38">INDEX('Lab.Calcs.Assumptions'!E$4:E$30,$J38)</f>
        <v>0.32040000000000002</v>
      </c>
      <c r="J38" s="157">
        <f>MATCH(E38,'Lab.Calcs.Assumptions'!$A$4:$A$30,0)</f>
        <v>9</v>
      </c>
    </row>
    <row r="39" spans="1:10" x14ac:dyDescent="0.25">
      <c r="A39" s="157" t="s">
        <v>1325</v>
      </c>
      <c r="B39" s="157" t="s">
        <v>1324</v>
      </c>
      <c r="C39" s="157" t="s">
        <v>1222</v>
      </c>
      <c r="D39" s="157" t="s">
        <v>1321</v>
      </c>
      <c r="E39" s="157" t="s">
        <v>1321</v>
      </c>
      <c r="F39" s="157" cm="1">
        <f t="array" ref="F39">INDEX('Lab.Calcs.Assumptions'!B$4:B$30,$J39)</f>
        <v>2.3769999999999999E-2</v>
      </c>
      <c r="G39" s="157" cm="1">
        <f t="array" ref="G39">INDEX('Lab.Calcs.Assumptions'!C$4:C$30,$J39)</f>
        <v>2.7050000000000001E-2</v>
      </c>
      <c r="H39" s="157" cm="1">
        <f t="array" ref="H39">INDEX('Lab.Calcs.Assumptions'!D$4:D$30,$J39)</f>
        <v>8.949E-2</v>
      </c>
      <c r="I39" s="157" cm="1">
        <f t="array" ref="I39">INDEX('Lab.Calcs.Assumptions'!E$4:E$30,$J39)</f>
        <v>0.32040000000000002</v>
      </c>
      <c r="J39" s="157">
        <f>MATCH(E39,'Lab.Calcs.Assumptions'!$A$4:$A$30,0)</f>
        <v>9</v>
      </c>
    </row>
    <row r="40" spans="1:10" x14ac:dyDescent="0.25">
      <c r="A40" s="157" t="s">
        <v>1323</v>
      </c>
      <c r="B40" s="157" t="s">
        <v>1322</v>
      </c>
      <c r="C40" s="157" t="s">
        <v>1222</v>
      </c>
      <c r="D40" s="157" t="s">
        <v>1321</v>
      </c>
      <c r="E40" s="157" t="s">
        <v>1321</v>
      </c>
      <c r="F40" s="157" cm="1">
        <f t="array" ref="F40">INDEX('Lab.Calcs.Assumptions'!B$4:B$30,$J40)</f>
        <v>2.3769999999999999E-2</v>
      </c>
      <c r="G40" s="157" cm="1">
        <f t="array" ref="G40">INDEX('Lab.Calcs.Assumptions'!C$4:C$30,$J40)</f>
        <v>2.7050000000000001E-2</v>
      </c>
      <c r="H40" s="157" cm="1">
        <f t="array" ref="H40">INDEX('Lab.Calcs.Assumptions'!D$4:D$30,$J40)</f>
        <v>8.949E-2</v>
      </c>
      <c r="I40" s="157" cm="1">
        <f t="array" ref="I40">INDEX('Lab.Calcs.Assumptions'!E$4:E$30,$J40)</f>
        <v>0.32040000000000002</v>
      </c>
      <c r="J40" s="157">
        <f>MATCH(E40,'Lab.Calcs.Assumptions'!$A$4:$A$30,0)</f>
        <v>9</v>
      </c>
    </row>
    <row r="41" spans="1:10" x14ac:dyDescent="0.25">
      <c r="A41" s="157" t="s">
        <v>240</v>
      </c>
      <c r="B41" s="157" t="s">
        <v>1320</v>
      </c>
      <c r="C41" s="157" t="s">
        <v>1222</v>
      </c>
      <c r="D41" s="157" t="s">
        <v>1317</v>
      </c>
      <c r="E41" s="157" t="s">
        <v>1317</v>
      </c>
      <c r="F41" s="157" cm="1">
        <f t="array" ref="F41">INDEX('Lab.Calcs.Assumptions'!B$4:B$30,$J41)</f>
        <v>1.6049999999999998E-2</v>
      </c>
      <c r="G41" s="157" cm="1">
        <f t="array" ref="G41">INDEX('Lab.Calcs.Assumptions'!C$4:C$30,$J41)</f>
        <v>1.8259999999999998E-2</v>
      </c>
      <c r="H41" s="157" cm="1">
        <f t="array" ref="H41">INDEX('Lab.Calcs.Assumptions'!D$4:D$30,$J41)</f>
        <v>6.0429999999999998E-2</v>
      </c>
      <c r="I41" s="157" cm="1">
        <f t="array" ref="I41">INDEX('Lab.Calcs.Assumptions'!E$4:E$30,$J41)</f>
        <v>0.21634</v>
      </c>
      <c r="J41" s="157">
        <f>MATCH(E41,'Lab.Calcs.Assumptions'!$A$4:$A$30,0)</f>
        <v>10</v>
      </c>
    </row>
    <row r="42" spans="1:10" x14ac:dyDescent="0.25">
      <c r="A42" s="157" t="s">
        <v>1319</v>
      </c>
      <c r="B42" s="157" t="s">
        <v>1318</v>
      </c>
      <c r="C42" s="157" t="s">
        <v>1222</v>
      </c>
      <c r="D42" s="157" t="s">
        <v>1317</v>
      </c>
      <c r="E42" s="157" t="s">
        <v>1317</v>
      </c>
      <c r="F42" s="157" cm="1">
        <f t="array" ref="F42">INDEX('Lab.Calcs.Assumptions'!B$4:B$30,$J42)</f>
        <v>1.6049999999999998E-2</v>
      </c>
      <c r="G42" s="157" cm="1">
        <f t="array" ref="G42">INDEX('Lab.Calcs.Assumptions'!C$4:C$30,$J42)</f>
        <v>1.8259999999999998E-2</v>
      </c>
      <c r="H42" s="157" cm="1">
        <f t="array" ref="H42">INDEX('Lab.Calcs.Assumptions'!D$4:D$30,$J42)</f>
        <v>6.0429999999999998E-2</v>
      </c>
      <c r="I42" s="157" cm="1">
        <f t="array" ref="I42">INDEX('Lab.Calcs.Assumptions'!E$4:E$30,$J42)</f>
        <v>0.21634</v>
      </c>
      <c r="J42" s="157">
        <f>MATCH(E42,'Lab.Calcs.Assumptions'!$A$4:$A$30,0)</f>
        <v>10</v>
      </c>
    </row>
    <row r="43" spans="1:10" x14ac:dyDescent="0.25">
      <c r="A43" s="157" t="s">
        <v>1316</v>
      </c>
      <c r="B43" s="157" t="s">
        <v>1315</v>
      </c>
      <c r="C43" s="157" t="s">
        <v>1222</v>
      </c>
      <c r="D43" s="157" t="s">
        <v>1292</v>
      </c>
      <c r="E43" s="157" t="s">
        <v>1314</v>
      </c>
      <c r="F43" s="157" cm="1">
        <f t="array" ref="F43">INDEX('Lab.Calcs.Assumptions'!B$4:B$30,$J43)</f>
        <v>1.72E-2</v>
      </c>
      <c r="G43" s="157" cm="1">
        <f t="array" ref="G43">INDEX('Lab.Calcs.Assumptions'!C$4:C$30,$J43)</f>
        <v>1.958E-2</v>
      </c>
      <c r="H43" s="157" cm="1">
        <f t="array" ref="H43">INDEX('Lab.Calcs.Assumptions'!D$4:D$30,$J43)</f>
        <v>6.4769999999999994E-2</v>
      </c>
      <c r="I43" s="157" cm="1">
        <f t="array" ref="I43">INDEX('Lab.Calcs.Assumptions'!E$4:E$30,$J43)</f>
        <v>0.23189000000000001</v>
      </c>
      <c r="J43" s="157">
        <f>MATCH(E43,'Lab.Calcs.Assumptions'!$A$4:$A$30,0)</f>
        <v>11</v>
      </c>
    </row>
    <row r="44" spans="1:10" x14ac:dyDescent="0.25">
      <c r="A44" s="157" t="s">
        <v>1313</v>
      </c>
      <c r="B44" s="157" t="s">
        <v>1312</v>
      </c>
      <c r="C44" s="157" t="s">
        <v>1222</v>
      </c>
      <c r="D44" s="157" t="s">
        <v>1292</v>
      </c>
      <c r="E44" s="157" t="s">
        <v>1297</v>
      </c>
      <c r="F44" s="157" cm="1">
        <f t="array" ref="F44">INDEX('Lab.Calcs.Assumptions'!B$4:B$30,$J44)</f>
        <v>1.72E-2</v>
      </c>
      <c r="G44" s="157" cm="1">
        <f t="array" ref="G44">INDEX('Lab.Calcs.Assumptions'!C$4:C$30,$J44)</f>
        <v>1.958E-2</v>
      </c>
      <c r="H44" s="157" cm="1">
        <f t="array" ref="H44">INDEX('Lab.Calcs.Assumptions'!D$4:D$30,$J44)</f>
        <v>6.4769999999999994E-2</v>
      </c>
      <c r="I44" s="157" cm="1">
        <f t="array" ref="I44">INDEX('Lab.Calcs.Assumptions'!E$4:E$30,$J44)</f>
        <v>0.23189000000000001</v>
      </c>
      <c r="J44" s="157">
        <f>MATCH(E44,'Lab.Calcs.Assumptions'!$A$4:$A$30,0)</f>
        <v>12</v>
      </c>
    </row>
    <row r="45" spans="1:10" x14ac:dyDescent="0.25">
      <c r="A45" s="157" t="s">
        <v>1311</v>
      </c>
      <c r="B45" s="157" t="s">
        <v>1310</v>
      </c>
      <c r="C45" s="157" t="s">
        <v>1222</v>
      </c>
      <c r="D45" s="157" t="s">
        <v>1292</v>
      </c>
      <c r="E45" s="157" t="s">
        <v>1297</v>
      </c>
      <c r="F45" s="157" cm="1">
        <f t="array" ref="F45">INDEX('Lab.Calcs.Assumptions'!B$4:B$30,$J45)</f>
        <v>1.72E-2</v>
      </c>
      <c r="G45" s="157" cm="1">
        <f t="array" ref="G45">INDEX('Lab.Calcs.Assumptions'!C$4:C$30,$J45)</f>
        <v>1.958E-2</v>
      </c>
      <c r="H45" s="157" cm="1">
        <f t="array" ref="H45">INDEX('Lab.Calcs.Assumptions'!D$4:D$30,$J45)</f>
        <v>6.4769999999999994E-2</v>
      </c>
      <c r="I45" s="157" cm="1">
        <f t="array" ref="I45">INDEX('Lab.Calcs.Assumptions'!E$4:E$30,$J45)</f>
        <v>0.23189000000000001</v>
      </c>
      <c r="J45" s="157">
        <f>MATCH(E45,'Lab.Calcs.Assumptions'!$A$4:$A$30,0)</f>
        <v>12</v>
      </c>
    </row>
    <row r="46" spans="1:10" x14ac:dyDescent="0.25">
      <c r="A46" s="157" t="s">
        <v>1309</v>
      </c>
      <c r="B46" s="157" t="s">
        <v>1308</v>
      </c>
      <c r="C46" s="157" t="s">
        <v>1222</v>
      </c>
      <c r="D46" s="157" t="s">
        <v>1292</v>
      </c>
      <c r="E46" s="157" t="s">
        <v>1297</v>
      </c>
      <c r="F46" s="157" cm="1">
        <f t="array" ref="F46">INDEX('Lab.Calcs.Assumptions'!B$4:B$30,$J46)</f>
        <v>1.72E-2</v>
      </c>
      <c r="G46" s="157" cm="1">
        <f t="array" ref="G46">INDEX('Lab.Calcs.Assumptions'!C$4:C$30,$J46)</f>
        <v>1.958E-2</v>
      </c>
      <c r="H46" s="157" cm="1">
        <f t="array" ref="H46">INDEX('Lab.Calcs.Assumptions'!D$4:D$30,$J46)</f>
        <v>6.4769999999999994E-2</v>
      </c>
      <c r="I46" s="157" cm="1">
        <f t="array" ref="I46">INDEX('Lab.Calcs.Assumptions'!E$4:E$30,$J46)</f>
        <v>0.23189000000000001</v>
      </c>
      <c r="J46" s="157">
        <f>MATCH(E46,'Lab.Calcs.Assumptions'!$A$4:$A$30,0)</f>
        <v>12</v>
      </c>
    </row>
    <row r="47" spans="1:10" x14ac:dyDescent="0.25">
      <c r="A47" s="157" t="s">
        <v>1307</v>
      </c>
      <c r="B47" s="157" t="s">
        <v>1306</v>
      </c>
      <c r="C47" s="157" t="s">
        <v>1222</v>
      </c>
      <c r="D47" s="157" t="s">
        <v>1292</v>
      </c>
      <c r="E47" s="157" t="s">
        <v>1297</v>
      </c>
      <c r="F47" s="157" cm="1">
        <f t="array" ref="F47">INDEX('Lab.Calcs.Assumptions'!B$4:B$30,$J47)</f>
        <v>1.72E-2</v>
      </c>
      <c r="G47" s="157" cm="1">
        <f t="array" ref="G47">INDEX('Lab.Calcs.Assumptions'!C$4:C$30,$J47)</f>
        <v>1.958E-2</v>
      </c>
      <c r="H47" s="157" cm="1">
        <f t="array" ref="H47">INDEX('Lab.Calcs.Assumptions'!D$4:D$30,$J47)</f>
        <v>6.4769999999999994E-2</v>
      </c>
      <c r="I47" s="157" cm="1">
        <f t="array" ref="I47">INDEX('Lab.Calcs.Assumptions'!E$4:E$30,$J47)</f>
        <v>0.23189000000000001</v>
      </c>
      <c r="J47" s="157">
        <f>MATCH(E47,'Lab.Calcs.Assumptions'!$A$4:$A$30,0)</f>
        <v>12</v>
      </c>
    </row>
    <row r="48" spans="1:10" x14ac:dyDescent="0.25">
      <c r="A48" s="157" t="s">
        <v>1305</v>
      </c>
      <c r="B48" s="157" t="s">
        <v>1304</v>
      </c>
      <c r="C48" s="157" t="s">
        <v>1222</v>
      </c>
      <c r="D48" s="157" t="s">
        <v>1292</v>
      </c>
      <c r="E48" s="157" t="s">
        <v>1297</v>
      </c>
      <c r="F48" s="157" cm="1">
        <f t="array" ref="F48">INDEX('Lab.Calcs.Assumptions'!B$4:B$30,$J48)</f>
        <v>1.72E-2</v>
      </c>
      <c r="G48" s="157" cm="1">
        <f t="array" ref="G48">INDEX('Lab.Calcs.Assumptions'!C$4:C$30,$J48)</f>
        <v>1.958E-2</v>
      </c>
      <c r="H48" s="157" cm="1">
        <f t="array" ref="H48">INDEX('Lab.Calcs.Assumptions'!D$4:D$30,$J48)</f>
        <v>6.4769999999999994E-2</v>
      </c>
      <c r="I48" s="157" cm="1">
        <f t="array" ref="I48">INDEX('Lab.Calcs.Assumptions'!E$4:E$30,$J48)</f>
        <v>0.23189000000000001</v>
      </c>
      <c r="J48" s="157">
        <f>MATCH(E48,'Lab.Calcs.Assumptions'!$A$4:$A$30,0)</f>
        <v>12</v>
      </c>
    </row>
    <row r="49" spans="1:10" x14ac:dyDescent="0.25">
      <c r="A49" s="157" t="s">
        <v>1303</v>
      </c>
      <c r="B49" s="157" t="s">
        <v>1302</v>
      </c>
      <c r="C49" s="157" t="s">
        <v>1222</v>
      </c>
      <c r="D49" s="157" t="s">
        <v>1292</v>
      </c>
      <c r="E49" s="157" t="s">
        <v>1297</v>
      </c>
      <c r="F49" s="157" cm="1">
        <f t="array" ref="F49">INDEX('Lab.Calcs.Assumptions'!B$4:B$30,$J49)</f>
        <v>1.72E-2</v>
      </c>
      <c r="G49" s="157" cm="1">
        <f t="array" ref="G49">INDEX('Lab.Calcs.Assumptions'!C$4:C$30,$J49)</f>
        <v>1.958E-2</v>
      </c>
      <c r="H49" s="157" cm="1">
        <f t="array" ref="H49">INDEX('Lab.Calcs.Assumptions'!D$4:D$30,$J49)</f>
        <v>6.4769999999999994E-2</v>
      </c>
      <c r="I49" s="157" cm="1">
        <f t="array" ref="I49">INDEX('Lab.Calcs.Assumptions'!E$4:E$30,$J49)</f>
        <v>0.23189000000000001</v>
      </c>
      <c r="J49" s="157">
        <f>MATCH(E49,'Lab.Calcs.Assumptions'!$A$4:$A$30,0)</f>
        <v>12</v>
      </c>
    </row>
    <row r="50" spans="1:10" x14ac:dyDescent="0.25">
      <c r="A50" s="157" t="s">
        <v>1301</v>
      </c>
      <c r="B50" s="157" t="s">
        <v>1300</v>
      </c>
      <c r="C50" s="157" t="s">
        <v>1222</v>
      </c>
      <c r="D50" s="157" t="s">
        <v>1292</v>
      </c>
      <c r="E50" s="157" t="s">
        <v>1297</v>
      </c>
      <c r="F50" s="157" cm="1">
        <f t="array" ref="F50">INDEX('Lab.Calcs.Assumptions'!B$4:B$30,$J50)</f>
        <v>1.72E-2</v>
      </c>
      <c r="G50" s="157" cm="1">
        <f t="array" ref="G50">INDEX('Lab.Calcs.Assumptions'!C$4:C$30,$J50)</f>
        <v>1.958E-2</v>
      </c>
      <c r="H50" s="157" cm="1">
        <f t="array" ref="H50">INDEX('Lab.Calcs.Assumptions'!D$4:D$30,$J50)</f>
        <v>6.4769999999999994E-2</v>
      </c>
      <c r="I50" s="157" cm="1">
        <f t="array" ref="I50">INDEX('Lab.Calcs.Assumptions'!E$4:E$30,$J50)</f>
        <v>0.23189000000000001</v>
      </c>
      <c r="J50" s="157">
        <f>MATCH(E50,'Lab.Calcs.Assumptions'!$A$4:$A$30,0)</f>
        <v>12</v>
      </c>
    </row>
    <row r="51" spans="1:10" x14ac:dyDescent="0.25">
      <c r="A51" s="157" t="s">
        <v>1299</v>
      </c>
      <c r="B51" s="157" t="s">
        <v>1298</v>
      </c>
      <c r="C51" s="157" t="s">
        <v>1222</v>
      </c>
      <c r="D51" s="157" t="s">
        <v>1292</v>
      </c>
      <c r="E51" s="157" t="s">
        <v>1297</v>
      </c>
      <c r="F51" s="157" cm="1">
        <f t="array" ref="F51">INDEX('Lab.Calcs.Assumptions'!B$4:B$30,$J51)</f>
        <v>1.72E-2</v>
      </c>
      <c r="G51" s="157" cm="1">
        <f t="array" ref="G51">INDEX('Lab.Calcs.Assumptions'!C$4:C$30,$J51)</f>
        <v>1.958E-2</v>
      </c>
      <c r="H51" s="157" cm="1">
        <f t="array" ref="H51">INDEX('Lab.Calcs.Assumptions'!D$4:D$30,$J51)</f>
        <v>6.4769999999999994E-2</v>
      </c>
      <c r="I51" s="157" cm="1">
        <f t="array" ref="I51">INDEX('Lab.Calcs.Assumptions'!E$4:E$30,$J51)</f>
        <v>0.23189000000000001</v>
      </c>
      <c r="J51" s="157">
        <f>MATCH(E51,'Lab.Calcs.Assumptions'!$A$4:$A$30,0)</f>
        <v>12</v>
      </c>
    </row>
    <row r="52" spans="1:10" x14ac:dyDescent="0.25">
      <c r="A52" s="157" t="s">
        <v>1296</v>
      </c>
      <c r="B52" s="157" t="s">
        <v>1295</v>
      </c>
      <c r="C52" s="157" t="s">
        <v>1222</v>
      </c>
      <c r="D52" s="157" t="s">
        <v>1292</v>
      </c>
      <c r="E52" s="157" t="s">
        <v>1294</v>
      </c>
      <c r="F52" s="157" cm="1">
        <f t="array" ref="F52">INDEX('Lab.Calcs.Assumptions'!B$4:B$30,$J52)</f>
        <v>1.72E-2</v>
      </c>
      <c r="G52" s="157" cm="1">
        <f t="array" ref="G52">INDEX('Lab.Calcs.Assumptions'!C$4:C$30,$J52)</f>
        <v>1.958E-2</v>
      </c>
      <c r="H52" s="157" cm="1">
        <f t="array" ref="H52">INDEX('Lab.Calcs.Assumptions'!D$4:D$30,$J52)</f>
        <v>6.4769999999999994E-2</v>
      </c>
      <c r="I52" s="157" cm="1">
        <f t="array" ref="I52">INDEX('Lab.Calcs.Assumptions'!E$4:E$30,$J52)</f>
        <v>0.23189000000000001</v>
      </c>
      <c r="J52" s="157">
        <f>MATCH(E52,'Lab.Calcs.Assumptions'!$A$4:$A$30,0)</f>
        <v>13</v>
      </c>
    </row>
    <row r="53" spans="1:10" x14ac:dyDescent="0.25">
      <c r="A53" s="157" t="s">
        <v>226</v>
      </c>
      <c r="B53" s="157" t="s">
        <v>1293</v>
      </c>
      <c r="C53" s="157" t="s">
        <v>1222</v>
      </c>
      <c r="D53" s="157" t="s">
        <v>1292</v>
      </c>
      <c r="E53" s="157" t="s">
        <v>1291</v>
      </c>
      <c r="F53" s="157" cm="1">
        <f t="array" ref="F53">INDEX('Lab.Calcs.Assumptions'!B$4:B$30,$J53)</f>
        <v>1.72E-2</v>
      </c>
      <c r="G53" s="157" cm="1">
        <f t="array" ref="G53">INDEX('Lab.Calcs.Assumptions'!C$4:C$30,$J53)</f>
        <v>1.958E-2</v>
      </c>
      <c r="H53" s="157" cm="1">
        <f t="array" ref="H53">INDEX('Lab.Calcs.Assumptions'!D$4:D$30,$J53)</f>
        <v>6.4769999999999994E-2</v>
      </c>
      <c r="I53" s="157" cm="1">
        <f t="array" ref="I53">INDEX('Lab.Calcs.Assumptions'!E$4:E$30,$J53)</f>
        <v>0.23189000000000001</v>
      </c>
      <c r="J53" s="157">
        <f>MATCH(E53,'Lab.Calcs.Assumptions'!$A$4:$A$30,0)</f>
        <v>14</v>
      </c>
    </row>
    <row r="54" spans="1:10" x14ac:dyDescent="0.25">
      <c r="A54" s="157" t="s">
        <v>252</v>
      </c>
      <c r="B54" s="157" t="s">
        <v>1290</v>
      </c>
      <c r="C54" s="157" t="s">
        <v>1222</v>
      </c>
      <c r="D54" s="157" t="s">
        <v>1257</v>
      </c>
      <c r="E54" s="157" t="s">
        <v>1256</v>
      </c>
      <c r="F54" s="157" cm="1">
        <f t="array" ref="F54">INDEX('Lab.Calcs.Assumptions'!B$4:B$30,$J54)</f>
        <v>1.72E-2</v>
      </c>
      <c r="G54" s="157" cm="1">
        <f t="array" ref="G54">INDEX('Lab.Calcs.Assumptions'!C$4:C$30,$J54)</f>
        <v>1.958E-2</v>
      </c>
      <c r="H54" s="157" cm="1">
        <f t="array" ref="H54">INDEX('Lab.Calcs.Assumptions'!D$4:D$30,$J54)</f>
        <v>6.4769999999999994E-2</v>
      </c>
      <c r="I54" s="157" cm="1">
        <f t="array" ref="I54">INDEX('Lab.Calcs.Assumptions'!E$4:E$30,$J54)</f>
        <v>0.23189000000000001</v>
      </c>
      <c r="J54" s="157">
        <f>MATCH(E54,'Lab.Calcs.Assumptions'!$A$4:$A$30,0)</f>
        <v>15</v>
      </c>
    </row>
    <row r="55" spans="1:10" x14ac:dyDescent="0.25">
      <c r="A55" s="157" t="s">
        <v>302</v>
      </c>
      <c r="B55" s="157" t="s">
        <v>1289</v>
      </c>
      <c r="C55" s="157" t="s">
        <v>1222</v>
      </c>
      <c r="D55" s="157" t="s">
        <v>1257</v>
      </c>
      <c r="E55" s="157" t="s">
        <v>1256</v>
      </c>
      <c r="F55" s="157" cm="1">
        <f t="array" ref="F55">INDEX('Lab.Calcs.Assumptions'!B$4:B$30,$J55)</f>
        <v>1.72E-2</v>
      </c>
      <c r="G55" s="157" cm="1">
        <f t="array" ref="G55">INDEX('Lab.Calcs.Assumptions'!C$4:C$30,$J55)</f>
        <v>1.958E-2</v>
      </c>
      <c r="H55" s="157" cm="1">
        <f t="array" ref="H55">INDEX('Lab.Calcs.Assumptions'!D$4:D$30,$J55)</f>
        <v>6.4769999999999994E-2</v>
      </c>
      <c r="I55" s="157" cm="1">
        <f t="array" ref="I55">INDEX('Lab.Calcs.Assumptions'!E$4:E$30,$J55)</f>
        <v>0.23189000000000001</v>
      </c>
      <c r="J55" s="157">
        <f>MATCH(E55,'Lab.Calcs.Assumptions'!$A$4:$A$30,0)</f>
        <v>15</v>
      </c>
    </row>
    <row r="56" spans="1:10" x14ac:dyDescent="0.25">
      <c r="A56" s="157" t="s">
        <v>308</v>
      </c>
      <c r="B56" s="157" t="s">
        <v>1288</v>
      </c>
      <c r="C56" s="157" t="s">
        <v>1222</v>
      </c>
      <c r="D56" s="157" t="s">
        <v>1257</v>
      </c>
      <c r="E56" s="157" t="s">
        <v>1256</v>
      </c>
      <c r="F56" s="157" cm="1">
        <f t="array" ref="F56">INDEX('Lab.Calcs.Assumptions'!B$4:B$30,$J56)</f>
        <v>1.72E-2</v>
      </c>
      <c r="G56" s="157" cm="1">
        <f t="array" ref="G56">INDEX('Lab.Calcs.Assumptions'!C$4:C$30,$J56)</f>
        <v>1.958E-2</v>
      </c>
      <c r="H56" s="157" cm="1">
        <f t="array" ref="H56">INDEX('Lab.Calcs.Assumptions'!D$4:D$30,$J56)</f>
        <v>6.4769999999999994E-2</v>
      </c>
      <c r="I56" s="157" cm="1">
        <f t="array" ref="I56">INDEX('Lab.Calcs.Assumptions'!E$4:E$30,$J56)</f>
        <v>0.23189000000000001</v>
      </c>
      <c r="J56" s="157">
        <f>MATCH(E56,'Lab.Calcs.Assumptions'!$A$4:$A$30,0)</f>
        <v>15</v>
      </c>
    </row>
    <row r="57" spans="1:10" x14ac:dyDescent="0.25">
      <c r="A57" s="157" t="s">
        <v>300</v>
      </c>
      <c r="B57" s="157" t="s">
        <v>1287</v>
      </c>
      <c r="C57" s="157" t="s">
        <v>1222</v>
      </c>
      <c r="D57" s="157" t="s">
        <v>1257</v>
      </c>
      <c r="E57" s="157" t="s">
        <v>1256</v>
      </c>
      <c r="F57" s="157" cm="1">
        <f t="array" ref="F57">INDEX('Lab.Calcs.Assumptions'!B$4:B$30,$J57)</f>
        <v>1.72E-2</v>
      </c>
      <c r="G57" s="157" cm="1">
        <f t="array" ref="G57">INDEX('Lab.Calcs.Assumptions'!C$4:C$30,$J57)</f>
        <v>1.958E-2</v>
      </c>
      <c r="H57" s="157" cm="1">
        <f t="array" ref="H57">INDEX('Lab.Calcs.Assumptions'!D$4:D$30,$J57)</f>
        <v>6.4769999999999994E-2</v>
      </c>
      <c r="I57" s="157" cm="1">
        <f t="array" ref="I57">INDEX('Lab.Calcs.Assumptions'!E$4:E$30,$J57)</f>
        <v>0.23189000000000001</v>
      </c>
      <c r="J57" s="157">
        <f>MATCH(E57,'Lab.Calcs.Assumptions'!$A$4:$A$30,0)</f>
        <v>15</v>
      </c>
    </row>
    <row r="58" spans="1:10" x14ac:dyDescent="0.25">
      <c r="A58" s="157" t="s">
        <v>306</v>
      </c>
      <c r="B58" s="157" t="s">
        <v>1286</v>
      </c>
      <c r="C58" s="157" t="s">
        <v>1222</v>
      </c>
      <c r="D58" s="157" t="s">
        <v>1257</v>
      </c>
      <c r="E58" s="157" t="s">
        <v>1256</v>
      </c>
      <c r="F58" s="157" cm="1">
        <f t="array" ref="F58">INDEX('Lab.Calcs.Assumptions'!B$4:B$30,$J58)</f>
        <v>1.72E-2</v>
      </c>
      <c r="G58" s="157" cm="1">
        <f t="array" ref="G58">INDEX('Lab.Calcs.Assumptions'!C$4:C$30,$J58)</f>
        <v>1.958E-2</v>
      </c>
      <c r="H58" s="157" cm="1">
        <f t="array" ref="H58">INDEX('Lab.Calcs.Assumptions'!D$4:D$30,$J58)</f>
        <v>6.4769999999999994E-2</v>
      </c>
      <c r="I58" s="157" cm="1">
        <f t="array" ref="I58">INDEX('Lab.Calcs.Assumptions'!E$4:E$30,$J58)</f>
        <v>0.23189000000000001</v>
      </c>
      <c r="J58" s="157">
        <f>MATCH(E58,'Lab.Calcs.Assumptions'!$A$4:$A$30,0)</f>
        <v>15</v>
      </c>
    </row>
    <row r="59" spans="1:10" x14ac:dyDescent="0.25">
      <c r="A59" s="157" t="s">
        <v>298</v>
      </c>
      <c r="B59" s="157" t="s">
        <v>1285</v>
      </c>
      <c r="C59" s="157" t="s">
        <v>1222</v>
      </c>
      <c r="D59" s="157" t="s">
        <v>1257</v>
      </c>
      <c r="E59" s="157" t="s">
        <v>1256</v>
      </c>
      <c r="F59" s="157" cm="1">
        <f t="array" ref="F59">INDEX('Lab.Calcs.Assumptions'!B$4:B$30,$J59)</f>
        <v>1.72E-2</v>
      </c>
      <c r="G59" s="157" cm="1">
        <f t="array" ref="G59">INDEX('Lab.Calcs.Assumptions'!C$4:C$30,$J59)</f>
        <v>1.958E-2</v>
      </c>
      <c r="H59" s="157" cm="1">
        <f t="array" ref="H59">INDEX('Lab.Calcs.Assumptions'!D$4:D$30,$J59)</f>
        <v>6.4769999999999994E-2</v>
      </c>
      <c r="I59" s="157" cm="1">
        <f t="array" ref="I59">INDEX('Lab.Calcs.Assumptions'!E$4:E$30,$J59)</f>
        <v>0.23189000000000001</v>
      </c>
      <c r="J59" s="157">
        <f>MATCH(E59,'Lab.Calcs.Assumptions'!$A$4:$A$30,0)</f>
        <v>15</v>
      </c>
    </row>
    <row r="60" spans="1:10" x14ac:dyDescent="0.25">
      <c r="A60" s="157" t="s">
        <v>1284</v>
      </c>
      <c r="B60" s="157" t="s">
        <v>1283</v>
      </c>
      <c r="C60" s="157" t="s">
        <v>1222</v>
      </c>
      <c r="D60" s="157" t="s">
        <v>1257</v>
      </c>
      <c r="E60" s="157" t="s">
        <v>1256</v>
      </c>
      <c r="F60" s="157" cm="1">
        <f t="array" ref="F60">INDEX('Lab.Calcs.Assumptions'!B$4:B$30,$J60)</f>
        <v>1.72E-2</v>
      </c>
      <c r="G60" s="157" cm="1">
        <f t="array" ref="G60">INDEX('Lab.Calcs.Assumptions'!C$4:C$30,$J60)</f>
        <v>1.958E-2</v>
      </c>
      <c r="H60" s="157" cm="1">
        <f t="array" ref="H60">INDEX('Lab.Calcs.Assumptions'!D$4:D$30,$J60)</f>
        <v>6.4769999999999994E-2</v>
      </c>
      <c r="I60" s="157" cm="1">
        <f t="array" ref="I60">INDEX('Lab.Calcs.Assumptions'!E$4:E$30,$J60)</f>
        <v>0.23189000000000001</v>
      </c>
      <c r="J60" s="157">
        <f>MATCH(E60,'Lab.Calcs.Assumptions'!$A$4:$A$30,0)</f>
        <v>15</v>
      </c>
    </row>
    <row r="61" spans="1:10" x14ac:dyDescent="0.25">
      <c r="A61" s="157" t="s">
        <v>1282</v>
      </c>
      <c r="B61" s="157" t="s">
        <v>1281</v>
      </c>
      <c r="C61" s="157" t="s">
        <v>1222</v>
      </c>
      <c r="D61" s="157" t="s">
        <v>1257</v>
      </c>
      <c r="E61" s="157" t="s">
        <v>1256</v>
      </c>
      <c r="F61" s="157" cm="1">
        <f t="array" ref="F61">INDEX('Lab.Calcs.Assumptions'!B$4:B$30,$J61)</f>
        <v>1.72E-2</v>
      </c>
      <c r="G61" s="157" cm="1">
        <f t="array" ref="G61">INDEX('Lab.Calcs.Assumptions'!C$4:C$30,$J61)</f>
        <v>1.958E-2</v>
      </c>
      <c r="H61" s="157" cm="1">
        <f t="array" ref="H61">INDEX('Lab.Calcs.Assumptions'!D$4:D$30,$J61)</f>
        <v>6.4769999999999994E-2</v>
      </c>
      <c r="I61" s="157" cm="1">
        <f t="array" ref="I61">INDEX('Lab.Calcs.Assumptions'!E$4:E$30,$J61)</f>
        <v>0.23189000000000001</v>
      </c>
      <c r="J61" s="157">
        <f>MATCH(E61,'Lab.Calcs.Assumptions'!$A$4:$A$30,0)</f>
        <v>15</v>
      </c>
    </row>
    <row r="62" spans="1:10" x14ac:dyDescent="0.25">
      <c r="A62" s="157" t="s">
        <v>280</v>
      </c>
      <c r="B62" s="157" t="s">
        <v>1280</v>
      </c>
      <c r="C62" s="157" t="s">
        <v>1222</v>
      </c>
      <c r="D62" s="157" t="s">
        <v>1257</v>
      </c>
      <c r="E62" s="157" t="s">
        <v>1256</v>
      </c>
      <c r="F62" s="157" cm="1">
        <f t="array" ref="F62">INDEX('Lab.Calcs.Assumptions'!B$4:B$30,$J62)</f>
        <v>1.72E-2</v>
      </c>
      <c r="G62" s="157" cm="1">
        <f t="array" ref="G62">INDEX('Lab.Calcs.Assumptions'!C$4:C$30,$J62)</f>
        <v>1.958E-2</v>
      </c>
      <c r="H62" s="157" cm="1">
        <f t="array" ref="H62">INDEX('Lab.Calcs.Assumptions'!D$4:D$30,$J62)</f>
        <v>6.4769999999999994E-2</v>
      </c>
      <c r="I62" s="157" cm="1">
        <f t="array" ref="I62">INDEX('Lab.Calcs.Assumptions'!E$4:E$30,$J62)</f>
        <v>0.23189000000000001</v>
      </c>
      <c r="J62" s="157">
        <f>MATCH(E62,'Lab.Calcs.Assumptions'!$A$4:$A$30,0)</f>
        <v>15</v>
      </c>
    </row>
    <row r="63" spans="1:10" x14ac:dyDescent="0.25">
      <c r="A63" s="157" t="s">
        <v>296</v>
      </c>
      <c r="B63" s="157" t="s">
        <v>1279</v>
      </c>
      <c r="C63" s="157" t="s">
        <v>1222</v>
      </c>
      <c r="D63" s="157" t="s">
        <v>1257</v>
      </c>
      <c r="E63" s="157" t="s">
        <v>1256</v>
      </c>
      <c r="F63" s="157" cm="1">
        <f t="array" ref="F63">INDEX('Lab.Calcs.Assumptions'!B$4:B$30,$J63)</f>
        <v>1.72E-2</v>
      </c>
      <c r="G63" s="157" cm="1">
        <f t="array" ref="G63">INDEX('Lab.Calcs.Assumptions'!C$4:C$30,$J63)</f>
        <v>1.958E-2</v>
      </c>
      <c r="H63" s="157" cm="1">
        <f t="array" ref="H63">INDEX('Lab.Calcs.Assumptions'!D$4:D$30,$J63)</f>
        <v>6.4769999999999994E-2</v>
      </c>
      <c r="I63" s="157" cm="1">
        <f t="array" ref="I63">INDEX('Lab.Calcs.Assumptions'!E$4:E$30,$J63)</f>
        <v>0.23189000000000001</v>
      </c>
      <c r="J63" s="157">
        <f>MATCH(E63,'Lab.Calcs.Assumptions'!$A$4:$A$30,0)</f>
        <v>15</v>
      </c>
    </row>
    <row r="64" spans="1:10" x14ac:dyDescent="0.25">
      <c r="A64" s="157" t="s">
        <v>304</v>
      </c>
      <c r="B64" s="157" t="s">
        <v>1278</v>
      </c>
      <c r="C64" s="157" t="s">
        <v>1222</v>
      </c>
      <c r="D64" s="157" t="s">
        <v>1257</v>
      </c>
      <c r="E64" s="157" t="s">
        <v>1256</v>
      </c>
      <c r="F64" s="157" cm="1">
        <f t="array" ref="F64">INDEX('Lab.Calcs.Assumptions'!B$4:B$30,$J64)</f>
        <v>1.72E-2</v>
      </c>
      <c r="G64" s="157" cm="1">
        <f t="array" ref="G64">INDEX('Lab.Calcs.Assumptions'!C$4:C$30,$J64)</f>
        <v>1.958E-2</v>
      </c>
      <c r="H64" s="157" cm="1">
        <f t="array" ref="H64">INDEX('Lab.Calcs.Assumptions'!D$4:D$30,$J64)</f>
        <v>6.4769999999999994E-2</v>
      </c>
      <c r="I64" s="157" cm="1">
        <f t="array" ref="I64">INDEX('Lab.Calcs.Assumptions'!E$4:E$30,$J64)</f>
        <v>0.23189000000000001</v>
      </c>
      <c r="J64" s="157">
        <f>MATCH(E64,'Lab.Calcs.Assumptions'!$A$4:$A$30,0)</f>
        <v>15</v>
      </c>
    </row>
    <row r="65" spans="1:10" x14ac:dyDescent="0.25">
      <c r="A65" s="157" t="s">
        <v>294</v>
      </c>
      <c r="B65" s="157" t="s">
        <v>1277</v>
      </c>
      <c r="C65" s="157" t="s">
        <v>1222</v>
      </c>
      <c r="D65" s="157" t="s">
        <v>1257</v>
      </c>
      <c r="E65" s="157" t="s">
        <v>1256</v>
      </c>
      <c r="F65" s="157" cm="1">
        <f t="array" ref="F65">INDEX('Lab.Calcs.Assumptions'!B$4:B$30,$J65)</f>
        <v>1.72E-2</v>
      </c>
      <c r="G65" s="157" cm="1">
        <f t="array" ref="G65">INDEX('Lab.Calcs.Assumptions'!C$4:C$30,$J65)</f>
        <v>1.958E-2</v>
      </c>
      <c r="H65" s="157" cm="1">
        <f t="array" ref="H65">INDEX('Lab.Calcs.Assumptions'!D$4:D$30,$J65)</f>
        <v>6.4769999999999994E-2</v>
      </c>
      <c r="I65" s="157" cm="1">
        <f t="array" ref="I65">INDEX('Lab.Calcs.Assumptions'!E$4:E$30,$J65)</f>
        <v>0.23189000000000001</v>
      </c>
      <c r="J65" s="157">
        <f>MATCH(E65,'Lab.Calcs.Assumptions'!$A$4:$A$30,0)</f>
        <v>15</v>
      </c>
    </row>
    <row r="66" spans="1:10" x14ac:dyDescent="0.25">
      <c r="A66" s="157" t="s">
        <v>292</v>
      </c>
      <c r="B66" s="157" t="s">
        <v>1276</v>
      </c>
      <c r="C66" s="157" t="s">
        <v>1222</v>
      </c>
      <c r="D66" s="157" t="s">
        <v>1257</v>
      </c>
      <c r="E66" s="157" t="s">
        <v>1256</v>
      </c>
      <c r="F66" s="157" cm="1">
        <f t="array" ref="F66">INDEX('Lab.Calcs.Assumptions'!B$4:B$30,$J66)</f>
        <v>1.72E-2</v>
      </c>
      <c r="G66" s="157" cm="1">
        <f t="array" ref="G66">INDEX('Lab.Calcs.Assumptions'!C$4:C$30,$J66)</f>
        <v>1.958E-2</v>
      </c>
      <c r="H66" s="157" cm="1">
        <f t="array" ref="H66">INDEX('Lab.Calcs.Assumptions'!D$4:D$30,$J66)</f>
        <v>6.4769999999999994E-2</v>
      </c>
      <c r="I66" s="157" cm="1">
        <f t="array" ref="I66">INDEX('Lab.Calcs.Assumptions'!E$4:E$30,$J66)</f>
        <v>0.23189000000000001</v>
      </c>
      <c r="J66" s="157">
        <f>MATCH(E66,'Lab.Calcs.Assumptions'!$A$4:$A$30,0)</f>
        <v>15</v>
      </c>
    </row>
    <row r="67" spans="1:10" x14ac:dyDescent="0.25">
      <c r="A67" s="157" t="s">
        <v>290</v>
      </c>
      <c r="B67" s="157" t="s">
        <v>1275</v>
      </c>
      <c r="C67" s="157" t="s">
        <v>1222</v>
      </c>
      <c r="D67" s="157" t="s">
        <v>1257</v>
      </c>
      <c r="E67" s="157" t="s">
        <v>1256</v>
      </c>
      <c r="F67" s="157" cm="1">
        <f t="array" ref="F67">INDEX('Lab.Calcs.Assumptions'!B$4:B$30,$J67)</f>
        <v>1.72E-2</v>
      </c>
      <c r="G67" s="157" cm="1">
        <f t="array" ref="G67">INDEX('Lab.Calcs.Assumptions'!C$4:C$30,$J67)</f>
        <v>1.958E-2</v>
      </c>
      <c r="H67" s="157" cm="1">
        <f t="array" ref="H67">INDEX('Lab.Calcs.Assumptions'!D$4:D$30,$J67)</f>
        <v>6.4769999999999994E-2</v>
      </c>
      <c r="I67" s="157" cm="1">
        <f t="array" ref="I67">INDEX('Lab.Calcs.Assumptions'!E$4:E$30,$J67)</f>
        <v>0.23189000000000001</v>
      </c>
      <c r="J67" s="157">
        <f>MATCH(E67,'Lab.Calcs.Assumptions'!$A$4:$A$30,0)</f>
        <v>15</v>
      </c>
    </row>
    <row r="68" spans="1:10" x14ac:dyDescent="0.25">
      <c r="A68" s="157" t="s">
        <v>288</v>
      </c>
      <c r="B68" s="157" t="s">
        <v>1274</v>
      </c>
      <c r="C68" s="157" t="s">
        <v>1222</v>
      </c>
      <c r="D68" s="157" t="s">
        <v>1257</v>
      </c>
      <c r="E68" s="157" t="s">
        <v>1256</v>
      </c>
      <c r="F68" s="157" cm="1">
        <f t="array" ref="F68">INDEX('Lab.Calcs.Assumptions'!B$4:B$30,$J68)</f>
        <v>1.72E-2</v>
      </c>
      <c r="G68" s="157" cm="1">
        <f t="array" ref="G68">INDEX('Lab.Calcs.Assumptions'!C$4:C$30,$J68)</f>
        <v>1.958E-2</v>
      </c>
      <c r="H68" s="157" cm="1">
        <f t="array" ref="H68">INDEX('Lab.Calcs.Assumptions'!D$4:D$30,$J68)</f>
        <v>6.4769999999999994E-2</v>
      </c>
      <c r="I68" s="157" cm="1">
        <f t="array" ref="I68">INDEX('Lab.Calcs.Assumptions'!E$4:E$30,$J68)</f>
        <v>0.23189000000000001</v>
      </c>
      <c r="J68" s="157">
        <f>MATCH(E68,'Lab.Calcs.Assumptions'!$A$4:$A$30,0)</f>
        <v>15</v>
      </c>
    </row>
    <row r="69" spans="1:10" x14ac:dyDescent="0.25">
      <c r="A69" s="157" t="s">
        <v>286</v>
      </c>
      <c r="B69" s="157" t="s">
        <v>1273</v>
      </c>
      <c r="C69" s="157" t="s">
        <v>1222</v>
      </c>
      <c r="D69" s="157" t="s">
        <v>1257</v>
      </c>
      <c r="E69" s="157" t="s">
        <v>1256</v>
      </c>
      <c r="F69" s="157" cm="1">
        <f t="array" ref="F69">INDEX('Lab.Calcs.Assumptions'!B$4:B$30,$J69)</f>
        <v>1.72E-2</v>
      </c>
      <c r="G69" s="157" cm="1">
        <f t="array" ref="G69">INDEX('Lab.Calcs.Assumptions'!C$4:C$30,$J69)</f>
        <v>1.958E-2</v>
      </c>
      <c r="H69" s="157" cm="1">
        <f t="array" ref="H69">INDEX('Lab.Calcs.Assumptions'!D$4:D$30,$J69)</f>
        <v>6.4769999999999994E-2</v>
      </c>
      <c r="I69" s="157" cm="1">
        <f t="array" ref="I69">INDEX('Lab.Calcs.Assumptions'!E$4:E$30,$J69)</f>
        <v>0.23189000000000001</v>
      </c>
      <c r="J69" s="157">
        <f>MATCH(E69,'Lab.Calcs.Assumptions'!$A$4:$A$30,0)</f>
        <v>15</v>
      </c>
    </row>
    <row r="70" spans="1:10" x14ac:dyDescent="0.25">
      <c r="A70" s="157" t="s">
        <v>284</v>
      </c>
      <c r="B70" s="157" t="s">
        <v>1272</v>
      </c>
      <c r="C70" s="157" t="s">
        <v>1222</v>
      </c>
      <c r="D70" s="157" t="s">
        <v>1257</v>
      </c>
      <c r="E70" s="157" t="s">
        <v>1256</v>
      </c>
      <c r="F70" s="157" cm="1">
        <f t="array" ref="F70">INDEX('Lab.Calcs.Assumptions'!B$4:B$30,$J70)</f>
        <v>1.72E-2</v>
      </c>
      <c r="G70" s="157" cm="1">
        <f t="array" ref="G70">INDEX('Lab.Calcs.Assumptions'!C$4:C$30,$J70)</f>
        <v>1.958E-2</v>
      </c>
      <c r="H70" s="157" cm="1">
        <f t="array" ref="H70">INDEX('Lab.Calcs.Assumptions'!D$4:D$30,$J70)</f>
        <v>6.4769999999999994E-2</v>
      </c>
      <c r="I70" s="157" cm="1">
        <f t="array" ref="I70">INDEX('Lab.Calcs.Assumptions'!E$4:E$30,$J70)</f>
        <v>0.23189000000000001</v>
      </c>
      <c r="J70" s="157">
        <f>MATCH(E70,'Lab.Calcs.Assumptions'!$A$4:$A$30,0)</f>
        <v>15</v>
      </c>
    </row>
    <row r="71" spans="1:10" x14ac:dyDescent="0.25">
      <c r="A71" s="157" t="s">
        <v>1271</v>
      </c>
      <c r="B71" s="157" t="s">
        <v>261</v>
      </c>
      <c r="C71" s="157" t="s">
        <v>1222</v>
      </c>
      <c r="D71" s="157" t="s">
        <v>1257</v>
      </c>
      <c r="E71" s="157" t="s">
        <v>1260</v>
      </c>
      <c r="F71" s="157" cm="1">
        <f t="array" ref="F71">INDEX('Lab.Calcs.Assumptions'!B$4:B$30,$J71)</f>
        <v>1.72E-2</v>
      </c>
      <c r="G71" s="157" cm="1">
        <f t="array" ref="G71">INDEX('Lab.Calcs.Assumptions'!C$4:C$30,$J71)</f>
        <v>1.958E-2</v>
      </c>
      <c r="H71" s="157" cm="1">
        <f t="array" ref="H71">INDEX('Lab.Calcs.Assumptions'!D$4:D$30,$J71)</f>
        <v>6.4769999999999994E-2</v>
      </c>
      <c r="I71" s="157" cm="1">
        <f t="array" ref="I71">INDEX('Lab.Calcs.Assumptions'!E$4:E$30,$J71)</f>
        <v>0.23189000000000001</v>
      </c>
      <c r="J71" s="157">
        <f>MATCH(E71,'Lab.Calcs.Assumptions'!$A$4:$A$30,0)</f>
        <v>16</v>
      </c>
    </row>
    <row r="72" spans="1:10" x14ac:dyDescent="0.25">
      <c r="A72" s="157" t="s">
        <v>1270</v>
      </c>
      <c r="B72" s="157" t="s">
        <v>1269</v>
      </c>
      <c r="C72" s="157" t="s">
        <v>1222</v>
      </c>
      <c r="D72" s="157" t="s">
        <v>1257</v>
      </c>
      <c r="E72" s="157" t="s">
        <v>1260</v>
      </c>
      <c r="F72" s="157" cm="1">
        <f t="array" ref="F72">INDEX('Lab.Calcs.Assumptions'!B$4:B$30,$J72)</f>
        <v>1.72E-2</v>
      </c>
      <c r="G72" s="157" cm="1">
        <f t="array" ref="G72">INDEX('Lab.Calcs.Assumptions'!C$4:C$30,$J72)</f>
        <v>1.958E-2</v>
      </c>
      <c r="H72" s="157" cm="1">
        <f t="array" ref="H72">INDEX('Lab.Calcs.Assumptions'!D$4:D$30,$J72)</f>
        <v>6.4769999999999994E-2</v>
      </c>
      <c r="I72" s="157" cm="1">
        <f t="array" ref="I72">INDEX('Lab.Calcs.Assumptions'!E$4:E$30,$J72)</f>
        <v>0.23189000000000001</v>
      </c>
      <c r="J72" s="157">
        <f>MATCH(E72,'Lab.Calcs.Assumptions'!$A$4:$A$30,0)</f>
        <v>16</v>
      </c>
    </row>
    <row r="73" spans="1:10" x14ac:dyDescent="0.25">
      <c r="A73" s="157" t="s">
        <v>265</v>
      </c>
      <c r="B73" s="157" t="s">
        <v>1268</v>
      </c>
      <c r="C73" s="157" t="s">
        <v>1222</v>
      </c>
      <c r="D73" s="157" t="s">
        <v>1257</v>
      </c>
      <c r="E73" s="157" t="s">
        <v>1256</v>
      </c>
      <c r="F73" s="157" cm="1">
        <f t="array" ref="F73">INDEX('Lab.Calcs.Assumptions'!B$4:B$30,$J73)</f>
        <v>1.72E-2</v>
      </c>
      <c r="G73" s="157" cm="1">
        <f t="array" ref="G73">INDEX('Lab.Calcs.Assumptions'!C$4:C$30,$J73)</f>
        <v>1.958E-2</v>
      </c>
      <c r="H73" s="157" cm="1">
        <f t="array" ref="H73">INDEX('Lab.Calcs.Assumptions'!D$4:D$30,$J73)</f>
        <v>6.4769999999999994E-2</v>
      </c>
      <c r="I73" s="157" cm="1">
        <f t="array" ref="I73">INDEX('Lab.Calcs.Assumptions'!E$4:E$30,$J73)</f>
        <v>0.23189000000000001</v>
      </c>
      <c r="J73" s="157">
        <f>MATCH(E73,'Lab.Calcs.Assumptions'!$A$4:$A$30,0)</f>
        <v>15</v>
      </c>
    </row>
    <row r="74" spans="1:10" x14ac:dyDescent="0.25">
      <c r="A74" s="157" t="s">
        <v>267</v>
      </c>
      <c r="B74" s="157" t="s">
        <v>1267</v>
      </c>
      <c r="C74" s="157" t="s">
        <v>1222</v>
      </c>
      <c r="D74" s="157" t="s">
        <v>1257</v>
      </c>
      <c r="E74" s="157" t="s">
        <v>1256</v>
      </c>
      <c r="F74" s="157" cm="1">
        <f t="array" ref="F74">INDEX('Lab.Calcs.Assumptions'!B$4:B$30,$J74)</f>
        <v>1.72E-2</v>
      </c>
      <c r="G74" s="157" cm="1">
        <f t="array" ref="G74">INDEX('Lab.Calcs.Assumptions'!C$4:C$30,$J74)</f>
        <v>1.958E-2</v>
      </c>
      <c r="H74" s="157" cm="1">
        <f t="array" ref="H74">INDEX('Lab.Calcs.Assumptions'!D$4:D$30,$J74)</f>
        <v>6.4769999999999994E-2</v>
      </c>
      <c r="I74" s="157" cm="1">
        <f t="array" ref="I74">INDEX('Lab.Calcs.Assumptions'!E$4:E$30,$J74)</f>
        <v>0.23189000000000001</v>
      </c>
      <c r="J74" s="157">
        <f>MATCH(E74,'Lab.Calcs.Assumptions'!$A$4:$A$30,0)</f>
        <v>15</v>
      </c>
    </row>
    <row r="75" spans="1:10" x14ac:dyDescent="0.25">
      <c r="A75" s="157" t="s">
        <v>1266</v>
      </c>
      <c r="B75" s="157" t="s">
        <v>1265</v>
      </c>
      <c r="C75" s="157" t="s">
        <v>1222</v>
      </c>
      <c r="D75" s="157" t="s">
        <v>1257</v>
      </c>
      <c r="E75" s="157" t="s">
        <v>1256</v>
      </c>
      <c r="F75" s="157" cm="1">
        <f t="array" ref="F75">INDEX('Lab.Calcs.Assumptions'!B$4:B$30,$J75)</f>
        <v>1.72E-2</v>
      </c>
      <c r="G75" s="157" cm="1">
        <f t="array" ref="G75">INDEX('Lab.Calcs.Assumptions'!C$4:C$30,$J75)</f>
        <v>1.958E-2</v>
      </c>
      <c r="H75" s="157" cm="1">
        <f t="array" ref="H75">INDEX('Lab.Calcs.Assumptions'!D$4:D$30,$J75)</f>
        <v>6.4769999999999994E-2</v>
      </c>
      <c r="I75" s="157" cm="1">
        <f t="array" ref="I75">INDEX('Lab.Calcs.Assumptions'!E$4:E$30,$J75)</f>
        <v>0.23189000000000001</v>
      </c>
      <c r="J75" s="157">
        <f>MATCH(E75,'Lab.Calcs.Assumptions'!$A$4:$A$30,0)</f>
        <v>15</v>
      </c>
    </row>
    <row r="76" spans="1:10" x14ac:dyDescent="0.25">
      <c r="A76" s="157" t="s">
        <v>1264</v>
      </c>
      <c r="B76" s="157" t="s">
        <v>1263</v>
      </c>
      <c r="C76" s="157" t="s">
        <v>1222</v>
      </c>
      <c r="D76" s="157" t="s">
        <v>1257</v>
      </c>
      <c r="E76" s="157" t="s">
        <v>1256</v>
      </c>
      <c r="F76" s="157" cm="1">
        <f t="array" ref="F76">INDEX('Lab.Calcs.Assumptions'!B$4:B$30,$J76)</f>
        <v>1.72E-2</v>
      </c>
      <c r="G76" s="157" cm="1">
        <f t="array" ref="G76">INDEX('Lab.Calcs.Assumptions'!C$4:C$30,$J76)</f>
        <v>1.958E-2</v>
      </c>
      <c r="H76" s="157" cm="1">
        <f t="array" ref="H76">INDEX('Lab.Calcs.Assumptions'!D$4:D$30,$J76)</f>
        <v>6.4769999999999994E-2</v>
      </c>
      <c r="I76" s="157" cm="1">
        <f t="array" ref="I76">INDEX('Lab.Calcs.Assumptions'!E$4:E$30,$J76)</f>
        <v>0.23189000000000001</v>
      </c>
      <c r="J76" s="157">
        <f>MATCH(E76,'Lab.Calcs.Assumptions'!$A$4:$A$30,0)</f>
        <v>15</v>
      </c>
    </row>
    <row r="77" spans="1:10" x14ac:dyDescent="0.25">
      <c r="A77" s="157" t="s">
        <v>1262</v>
      </c>
      <c r="B77" s="157" t="s">
        <v>1261</v>
      </c>
      <c r="C77" s="157" t="s">
        <v>1222</v>
      </c>
      <c r="D77" s="157" t="s">
        <v>1257</v>
      </c>
      <c r="E77" s="157" t="s">
        <v>1260</v>
      </c>
      <c r="F77" s="157" cm="1">
        <f t="array" ref="F77">INDEX('Lab.Calcs.Assumptions'!B$4:B$30,$J77)</f>
        <v>1.72E-2</v>
      </c>
      <c r="G77" s="157" cm="1">
        <f t="array" ref="G77">INDEX('Lab.Calcs.Assumptions'!C$4:C$30,$J77)</f>
        <v>1.958E-2</v>
      </c>
      <c r="H77" s="157" cm="1">
        <f t="array" ref="H77">INDEX('Lab.Calcs.Assumptions'!D$4:D$30,$J77)</f>
        <v>6.4769999999999994E-2</v>
      </c>
      <c r="I77" s="157" cm="1">
        <f t="array" ref="I77">INDEX('Lab.Calcs.Assumptions'!E$4:E$30,$J77)</f>
        <v>0.23189000000000001</v>
      </c>
      <c r="J77" s="157">
        <f>MATCH(E77,'Lab.Calcs.Assumptions'!$A$4:$A$30,0)</f>
        <v>16</v>
      </c>
    </row>
    <row r="78" spans="1:10" x14ac:dyDescent="0.25">
      <c r="A78" s="157" t="s">
        <v>1259</v>
      </c>
      <c r="B78" s="157" t="s">
        <v>259</v>
      </c>
      <c r="C78" s="157" t="s">
        <v>1222</v>
      </c>
      <c r="D78" s="157" t="s">
        <v>1257</v>
      </c>
      <c r="E78" s="157" t="s">
        <v>1256</v>
      </c>
      <c r="F78" s="157" cm="1">
        <f t="array" ref="F78">INDEX('Lab.Calcs.Assumptions'!B$4:B$30,$J78)</f>
        <v>1.72E-2</v>
      </c>
      <c r="G78" s="157" cm="1">
        <f t="array" ref="G78">INDEX('Lab.Calcs.Assumptions'!C$4:C$30,$J78)</f>
        <v>1.958E-2</v>
      </c>
      <c r="H78" s="157" cm="1">
        <f t="array" ref="H78">INDEX('Lab.Calcs.Assumptions'!D$4:D$30,$J78)</f>
        <v>6.4769999999999994E-2</v>
      </c>
      <c r="I78" s="157" cm="1">
        <f t="array" ref="I78">INDEX('Lab.Calcs.Assumptions'!E$4:E$30,$J78)</f>
        <v>0.23189000000000001</v>
      </c>
      <c r="J78" s="157">
        <f>MATCH(E78,'Lab.Calcs.Assumptions'!$A$4:$A$30,0)</f>
        <v>15</v>
      </c>
    </row>
    <row r="79" spans="1:10" x14ac:dyDescent="0.25">
      <c r="A79" s="157" t="s">
        <v>282</v>
      </c>
      <c r="B79" s="157" t="s">
        <v>1258</v>
      </c>
      <c r="C79" s="157" t="s">
        <v>1222</v>
      </c>
      <c r="D79" s="157" t="s">
        <v>1257</v>
      </c>
      <c r="E79" s="157" t="s">
        <v>1256</v>
      </c>
      <c r="F79" s="157" cm="1">
        <f t="array" ref="F79">INDEX('Lab.Calcs.Assumptions'!B$4:B$30,$J79)</f>
        <v>1.72E-2</v>
      </c>
      <c r="G79" s="157" cm="1">
        <f t="array" ref="G79">INDEX('Lab.Calcs.Assumptions'!C$4:C$30,$J79)</f>
        <v>1.958E-2</v>
      </c>
      <c r="H79" s="157" cm="1">
        <f t="array" ref="H79">INDEX('Lab.Calcs.Assumptions'!D$4:D$30,$J79)</f>
        <v>6.4769999999999994E-2</v>
      </c>
      <c r="I79" s="157" cm="1">
        <f t="array" ref="I79">INDEX('Lab.Calcs.Assumptions'!E$4:E$30,$J79)</f>
        <v>0.23189000000000001</v>
      </c>
      <c r="J79" s="157">
        <f>MATCH(E79,'Lab.Calcs.Assumptions'!$A$4:$A$30,0)</f>
        <v>15</v>
      </c>
    </row>
    <row r="80" spans="1:10" x14ac:dyDescent="0.25">
      <c r="A80" s="157" t="s">
        <v>1255</v>
      </c>
      <c r="B80" s="157" t="s">
        <v>1254</v>
      </c>
      <c r="C80" s="157" t="s">
        <v>1222</v>
      </c>
      <c r="D80" s="157" t="s">
        <v>1234</v>
      </c>
      <c r="E80" s="157" t="s">
        <v>1234</v>
      </c>
      <c r="F80" s="157" cm="1">
        <f t="array" ref="F80">INDEX('Lab.Calcs.Assumptions'!B$4:B$30,$J80)</f>
        <v>0</v>
      </c>
      <c r="G80" s="157" cm="1">
        <f t="array" ref="G80">INDEX('Lab.Calcs.Assumptions'!C$4:C$30,$J80)</f>
        <v>0</v>
      </c>
      <c r="H80" s="157" cm="1">
        <f t="array" ref="H80">INDEX('Lab.Calcs.Assumptions'!D$4:D$30,$J80)</f>
        <v>0</v>
      </c>
      <c r="I80" s="157" cm="1">
        <f t="array" ref="I80">INDEX('Lab.Calcs.Assumptions'!E$4:E$30,$J80)</f>
        <v>0</v>
      </c>
      <c r="J80" s="157">
        <f>MATCH(E80,'Lab.Calcs.Assumptions'!$A$4:$A$30,0)</f>
        <v>4</v>
      </c>
    </row>
    <row r="81" spans="1:10" x14ac:dyDescent="0.25">
      <c r="A81" s="157" t="s">
        <v>1253</v>
      </c>
      <c r="B81" s="157" t="s">
        <v>1252</v>
      </c>
      <c r="C81" s="157" t="s">
        <v>1222</v>
      </c>
      <c r="D81" s="157" t="s">
        <v>1234</v>
      </c>
      <c r="E81" s="157" t="s">
        <v>1234</v>
      </c>
      <c r="F81" s="157" cm="1">
        <f t="array" ref="F81">INDEX('Lab.Calcs.Assumptions'!B$4:B$30,$J81)</f>
        <v>0</v>
      </c>
      <c r="G81" s="157" cm="1">
        <f t="array" ref="G81">INDEX('Lab.Calcs.Assumptions'!C$4:C$30,$J81)</f>
        <v>0</v>
      </c>
      <c r="H81" s="157" cm="1">
        <f t="array" ref="H81">INDEX('Lab.Calcs.Assumptions'!D$4:D$30,$J81)</f>
        <v>0</v>
      </c>
      <c r="I81" s="157" cm="1">
        <f t="array" ref="I81">INDEX('Lab.Calcs.Assumptions'!E$4:E$30,$J81)</f>
        <v>0</v>
      </c>
      <c r="J81" s="157">
        <f>MATCH(E81,'Lab.Calcs.Assumptions'!$A$4:$A$30,0)</f>
        <v>4</v>
      </c>
    </row>
    <row r="82" spans="1:10" x14ac:dyDescent="0.25">
      <c r="A82" s="157" t="s">
        <v>1251</v>
      </c>
      <c r="B82" s="157" t="s">
        <v>1250</v>
      </c>
      <c r="C82" s="157" t="s">
        <v>1222</v>
      </c>
      <c r="D82" s="157" t="s">
        <v>1237</v>
      </c>
      <c r="E82" s="157" t="s">
        <v>1237</v>
      </c>
      <c r="F82" s="157" cm="1">
        <f t="array" ref="F82">INDEX('Lab.Calcs.Assumptions'!B$4:B$30,$J82)</f>
        <v>1.72E-2</v>
      </c>
      <c r="G82" s="157" cm="1">
        <f t="array" ref="G82">INDEX('Lab.Calcs.Assumptions'!C$4:C$30,$J82)</f>
        <v>1.958E-2</v>
      </c>
      <c r="H82" s="157" cm="1">
        <f t="array" ref="H82">INDEX('Lab.Calcs.Assumptions'!D$4:D$30,$J82)</f>
        <v>6.4769999999999994E-2</v>
      </c>
      <c r="I82" s="157" cm="1">
        <f t="array" ref="I82">INDEX('Lab.Calcs.Assumptions'!E$4:E$30,$J82)</f>
        <v>0.23189000000000001</v>
      </c>
      <c r="J82" s="157">
        <f>MATCH(E82,'Lab.Calcs.Assumptions'!$A$4:$A$30,0)</f>
        <v>17</v>
      </c>
    </row>
    <row r="83" spans="1:10" x14ac:dyDescent="0.25">
      <c r="A83" s="157" t="s">
        <v>1249</v>
      </c>
      <c r="B83" s="157" t="s">
        <v>1248</v>
      </c>
      <c r="C83" s="157" t="s">
        <v>1222</v>
      </c>
      <c r="D83" s="157" t="s">
        <v>1237</v>
      </c>
      <c r="E83" s="157" t="s">
        <v>1237</v>
      </c>
      <c r="F83" s="157" cm="1">
        <f t="array" ref="F83">INDEX('Lab.Calcs.Assumptions'!B$4:B$30,$J83)</f>
        <v>1.72E-2</v>
      </c>
      <c r="G83" s="157" cm="1">
        <f t="array" ref="G83">INDEX('Lab.Calcs.Assumptions'!C$4:C$30,$J83)</f>
        <v>1.958E-2</v>
      </c>
      <c r="H83" s="157" cm="1">
        <f t="array" ref="H83">INDEX('Lab.Calcs.Assumptions'!D$4:D$30,$J83)</f>
        <v>6.4769999999999994E-2</v>
      </c>
      <c r="I83" s="157" cm="1">
        <f t="array" ref="I83">INDEX('Lab.Calcs.Assumptions'!E$4:E$30,$J83)</f>
        <v>0.23189000000000001</v>
      </c>
      <c r="J83" s="157">
        <f>MATCH(E83,'Lab.Calcs.Assumptions'!$A$4:$A$30,0)</f>
        <v>17</v>
      </c>
    </row>
    <row r="84" spans="1:10" x14ac:dyDescent="0.25">
      <c r="A84" s="157" t="s">
        <v>1247</v>
      </c>
      <c r="B84" s="157" t="s">
        <v>1246</v>
      </c>
      <c r="C84" s="157" t="s">
        <v>1222</v>
      </c>
      <c r="D84" s="157" t="s">
        <v>1237</v>
      </c>
      <c r="E84" s="157" t="s">
        <v>1237</v>
      </c>
      <c r="F84" s="157" cm="1">
        <f t="array" ref="F84">INDEX('Lab.Calcs.Assumptions'!B$4:B$30,$J84)</f>
        <v>1.72E-2</v>
      </c>
      <c r="G84" s="157" cm="1">
        <f t="array" ref="G84">INDEX('Lab.Calcs.Assumptions'!C$4:C$30,$J84)</f>
        <v>1.958E-2</v>
      </c>
      <c r="H84" s="157" cm="1">
        <f t="array" ref="H84">INDEX('Lab.Calcs.Assumptions'!D$4:D$30,$J84)</f>
        <v>6.4769999999999994E-2</v>
      </c>
      <c r="I84" s="157" cm="1">
        <f t="array" ref="I84">INDEX('Lab.Calcs.Assumptions'!E$4:E$30,$J84)</f>
        <v>0.23189000000000001</v>
      </c>
      <c r="J84" s="157">
        <f>MATCH(E84,'Lab.Calcs.Assumptions'!$A$4:$A$30,0)</f>
        <v>17</v>
      </c>
    </row>
    <row r="85" spans="1:10" x14ac:dyDescent="0.25">
      <c r="A85" s="157" t="s">
        <v>234</v>
      </c>
      <c r="B85" s="157" t="s">
        <v>1245</v>
      </c>
      <c r="C85" s="157" t="s">
        <v>1222</v>
      </c>
      <c r="D85" s="157" t="s">
        <v>1237</v>
      </c>
      <c r="E85" s="157" t="s">
        <v>1237</v>
      </c>
      <c r="F85" s="157" cm="1">
        <f t="array" ref="F85">INDEX('Lab.Calcs.Assumptions'!B$4:B$30,$J85)</f>
        <v>1.72E-2</v>
      </c>
      <c r="G85" s="157" cm="1">
        <f t="array" ref="G85">INDEX('Lab.Calcs.Assumptions'!C$4:C$30,$J85)</f>
        <v>1.958E-2</v>
      </c>
      <c r="H85" s="157" cm="1">
        <f t="array" ref="H85">INDEX('Lab.Calcs.Assumptions'!D$4:D$30,$J85)</f>
        <v>6.4769999999999994E-2</v>
      </c>
      <c r="I85" s="157" cm="1">
        <f t="array" ref="I85">INDEX('Lab.Calcs.Assumptions'!E$4:E$30,$J85)</f>
        <v>0.23189000000000001</v>
      </c>
      <c r="J85" s="157">
        <f>MATCH(E85,'Lab.Calcs.Assumptions'!$A$4:$A$30,0)</f>
        <v>17</v>
      </c>
    </row>
    <row r="86" spans="1:10" x14ac:dyDescent="0.25">
      <c r="A86" s="157" t="s">
        <v>236</v>
      </c>
      <c r="B86" s="157" t="s">
        <v>1244</v>
      </c>
      <c r="C86" s="157" t="s">
        <v>1222</v>
      </c>
      <c r="D86" s="157" t="s">
        <v>1237</v>
      </c>
      <c r="E86" s="157" t="s">
        <v>1237</v>
      </c>
      <c r="F86" s="157" cm="1">
        <f t="array" ref="F86">INDEX('Lab.Calcs.Assumptions'!B$4:B$30,$J86)</f>
        <v>1.72E-2</v>
      </c>
      <c r="G86" s="157" cm="1">
        <f t="array" ref="G86">INDEX('Lab.Calcs.Assumptions'!C$4:C$30,$J86)</f>
        <v>1.958E-2</v>
      </c>
      <c r="H86" s="157" cm="1">
        <f t="array" ref="H86">INDEX('Lab.Calcs.Assumptions'!D$4:D$30,$J86)</f>
        <v>6.4769999999999994E-2</v>
      </c>
      <c r="I86" s="157" cm="1">
        <f t="array" ref="I86">INDEX('Lab.Calcs.Assumptions'!E$4:E$30,$J86)</f>
        <v>0.23189000000000001</v>
      </c>
      <c r="J86" s="157">
        <f>MATCH(E86,'Lab.Calcs.Assumptions'!$A$4:$A$30,0)</f>
        <v>17</v>
      </c>
    </row>
    <row r="87" spans="1:10" x14ac:dyDescent="0.25">
      <c r="A87" s="157" t="s">
        <v>1243</v>
      </c>
      <c r="B87" s="157" t="s">
        <v>1242</v>
      </c>
      <c r="C87" s="157" t="s">
        <v>1222</v>
      </c>
      <c r="D87" s="157" t="s">
        <v>1237</v>
      </c>
      <c r="E87" s="157" t="s">
        <v>1237</v>
      </c>
      <c r="F87" s="157" cm="1">
        <f t="array" ref="F87">INDEX('Lab.Calcs.Assumptions'!B$4:B$30,$J87)</f>
        <v>1.72E-2</v>
      </c>
      <c r="G87" s="157" cm="1">
        <f t="array" ref="G87">INDEX('Lab.Calcs.Assumptions'!C$4:C$30,$J87)</f>
        <v>1.958E-2</v>
      </c>
      <c r="H87" s="157" cm="1">
        <f t="array" ref="H87">INDEX('Lab.Calcs.Assumptions'!D$4:D$30,$J87)</f>
        <v>6.4769999999999994E-2</v>
      </c>
      <c r="I87" s="157" cm="1">
        <f t="array" ref="I87">INDEX('Lab.Calcs.Assumptions'!E$4:E$30,$J87)</f>
        <v>0.23189000000000001</v>
      </c>
      <c r="J87" s="157">
        <f>MATCH(E87,'Lab.Calcs.Assumptions'!$A$4:$A$30,0)</f>
        <v>17</v>
      </c>
    </row>
    <row r="88" spans="1:10" x14ac:dyDescent="0.25">
      <c r="A88" s="157" t="s">
        <v>1241</v>
      </c>
      <c r="B88" s="157" t="s">
        <v>1240</v>
      </c>
      <c r="C88" s="157" t="s">
        <v>1222</v>
      </c>
      <c r="D88" s="157" t="s">
        <v>1237</v>
      </c>
      <c r="E88" s="157" t="s">
        <v>1237</v>
      </c>
      <c r="F88" s="157" cm="1">
        <f t="array" ref="F88">INDEX('Lab.Calcs.Assumptions'!B$4:B$30,$J88)</f>
        <v>1.72E-2</v>
      </c>
      <c r="G88" s="157" cm="1">
        <f t="array" ref="G88">INDEX('Lab.Calcs.Assumptions'!C$4:C$30,$J88)</f>
        <v>1.958E-2</v>
      </c>
      <c r="H88" s="157" cm="1">
        <f t="array" ref="H88">INDEX('Lab.Calcs.Assumptions'!D$4:D$30,$J88)</f>
        <v>6.4769999999999994E-2</v>
      </c>
      <c r="I88" s="157" cm="1">
        <f t="array" ref="I88">INDEX('Lab.Calcs.Assumptions'!E$4:E$30,$J88)</f>
        <v>0.23189000000000001</v>
      </c>
      <c r="J88" s="157">
        <f>MATCH(E88,'Lab.Calcs.Assumptions'!$A$4:$A$30,0)</f>
        <v>17</v>
      </c>
    </row>
    <row r="89" spans="1:10" x14ac:dyDescent="0.25">
      <c r="A89" s="157" t="s">
        <v>1239</v>
      </c>
      <c r="B89" s="157" t="s">
        <v>1238</v>
      </c>
      <c r="C89" s="157" t="s">
        <v>1222</v>
      </c>
      <c r="D89" s="157" t="s">
        <v>1237</v>
      </c>
      <c r="E89" s="157" t="s">
        <v>1237</v>
      </c>
      <c r="F89" s="157" cm="1">
        <f t="array" ref="F89">INDEX('Lab.Calcs.Assumptions'!B$4:B$30,$J89)</f>
        <v>1.72E-2</v>
      </c>
      <c r="G89" s="157" cm="1">
        <f t="array" ref="G89">INDEX('Lab.Calcs.Assumptions'!C$4:C$30,$J89)</f>
        <v>1.958E-2</v>
      </c>
      <c r="H89" s="157" cm="1">
        <f t="array" ref="H89">INDEX('Lab.Calcs.Assumptions'!D$4:D$30,$J89)</f>
        <v>6.4769999999999994E-2</v>
      </c>
      <c r="I89" s="157" cm="1">
        <f t="array" ref="I89">INDEX('Lab.Calcs.Assumptions'!E$4:E$30,$J89)</f>
        <v>0.23189000000000001</v>
      </c>
      <c r="J89" s="157">
        <f>MATCH(E89,'Lab.Calcs.Assumptions'!$A$4:$A$30,0)</f>
        <v>17</v>
      </c>
    </row>
    <row r="90" spans="1:10" x14ac:dyDescent="0.25">
      <c r="A90" s="157" t="s">
        <v>1236</v>
      </c>
      <c r="B90" s="157" t="s">
        <v>1235</v>
      </c>
      <c r="C90" s="157" t="s">
        <v>1222</v>
      </c>
      <c r="D90" s="157" t="s">
        <v>1234</v>
      </c>
      <c r="E90" s="157" t="s">
        <v>1234</v>
      </c>
      <c r="F90" s="157" cm="1">
        <f t="array" ref="F90">INDEX('Lab.Calcs.Assumptions'!B$4:B$30,$J90)</f>
        <v>0</v>
      </c>
      <c r="G90" s="157" cm="1">
        <f t="array" ref="G90">INDEX('Lab.Calcs.Assumptions'!C$4:C$30,$J90)</f>
        <v>0</v>
      </c>
      <c r="H90" s="157" cm="1">
        <f t="array" ref="H90">INDEX('Lab.Calcs.Assumptions'!D$4:D$30,$J90)</f>
        <v>0</v>
      </c>
      <c r="I90" s="157" cm="1">
        <f t="array" ref="I90">INDEX('Lab.Calcs.Assumptions'!E$4:E$30,$J90)</f>
        <v>0</v>
      </c>
      <c r="J90" s="157">
        <f>MATCH(E90,'Lab.Calcs.Assumptions'!$A$4:$A$30,0)</f>
        <v>4</v>
      </c>
    </row>
    <row r="91" spans="1:10" x14ac:dyDescent="0.25">
      <c r="A91" s="157" t="s">
        <v>272</v>
      </c>
      <c r="B91" s="157" t="s">
        <v>1233</v>
      </c>
      <c r="C91" s="157" t="s">
        <v>1222</v>
      </c>
      <c r="D91" s="157" t="s">
        <v>1231</v>
      </c>
      <c r="E91" s="157" t="s">
        <v>1231</v>
      </c>
      <c r="F91" s="157" cm="1">
        <f t="array" ref="F91">INDEX('Lab.Calcs.Assumptions'!B$4:B$30,$J91)</f>
        <v>3.3279999999999997E-2</v>
      </c>
      <c r="G91" s="157" cm="1">
        <f t="array" ref="G91">INDEX('Lab.Calcs.Assumptions'!C$4:C$30,$J91)</f>
        <v>3.7879999999999997E-2</v>
      </c>
      <c r="H91" s="157" cm="1">
        <f t="array" ref="H91">INDEX('Lab.Calcs.Assumptions'!D$4:D$30,$J91)</f>
        <v>0.12533</v>
      </c>
      <c r="I91" s="157" cm="1">
        <f t="array" ref="I91">INDEX('Lab.Calcs.Assumptions'!E$4:E$30,$J91)</f>
        <v>0.44868000000000002</v>
      </c>
      <c r="J91" s="157">
        <f>MATCH(E91,'Lab.Calcs.Assumptions'!$A$4:$A$30,0)</f>
        <v>18</v>
      </c>
    </row>
    <row r="92" spans="1:10" x14ac:dyDescent="0.25">
      <c r="A92" s="157" t="s">
        <v>248</v>
      </c>
      <c r="B92" s="157" t="s">
        <v>1232</v>
      </c>
      <c r="C92" s="157" t="s">
        <v>1222</v>
      </c>
      <c r="D92" s="157" t="s">
        <v>1231</v>
      </c>
      <c r="E92" s="157" t="s">
        <v>1231</v>
      </c>
      <c r="F92" s="157" cm="1">
        <f t="array" ref="F92">INDEX('Lab.Calcs.Assumptions'!B$4:B$30,$J92)</f>
        <v>3.3279999999999997E-2</v>
      </c>
      <c r="G92" s="157" cm="1">
        <f t="array" ref="G92">INDEX('Lab.Calcs.Assumptions'!C$4:C$30,$J92)</f>
        <v>3.7879999999999997E-2</v>
      </c>
      <c r="H92" s="157" cm="1">
        <f t="array" ref="H92">INDEX('Lab.Calcs.Assumptions'!D$4:D$30,$J92)</f>
        <v>0.12533</v>
      </c>
      <c r="I92" s="157" cm="1">
        <f t="array" ref="I92">INDEX('Lab.Calcs.Assumptions'!E$4:E$30,$J92)</f>
        <v>0.44868000000000002</v>
      </c>
      <c r="J92" s="157">
        <f>MATCH(E92,'Lab.Calcs.Assumptions'!$A$4:$A$30,0)</f>
        <v>18</v>
      </c>
    </row>
    <row r="93" spans="1:10" x14ac:dyDescent="0.25">
      <c r="A93" s="157" t="s">
        <v>278</v>
      </c>
      <c r="B93" s="157" t="s">
        <v>1230</v>
      </c>
      <c r="C93" s="157" t="s">
        <v>1222</v>
      </c>
      <c r="D93" s="157" t="s">
        <v>1228</v>
      </c>
      <c r="E93" s="157" t="s">
        <v>1228</v>
      </c>
      <c r="F93" s="157" cm="1">
        <f t="array" ref="F93">INDEX('Lab.Calcs.Assumptions'!B$4:B$30,$J93)</f>
        <v>1.72E-2</v>
      </c>
      <c r="G93" s="157" cm="1">
        <f t="array" ref="G93">INDEX('Lab.Calcs.Assumptions'!C$4:C$30,$J93)</f>
        <v>1.958E-2</v>
      </c>
      <c r="H93" s="157" cm="1">
        <f t="array" ref="H93">INDEX('Lab.Calcs.Assumptions'!D$4:D$30,$J93)</f>
        <v>6.4769999999999994E-2</v>
      </c>
      <c r="I93" s="157" cm="1">
        <f t="array" ref="I93">INDEX('Lab.Calcs.Assumptions'!E$4:E$30,$J93)</f>
        <v>0.23189000000000001</v>
      </c>
      <c r="J93" s="157">
        <f>MATCH(E93,'Lab.Calcs.Assumptions'!$A$4:$A$30,0)</f>
        <v>19</v>
      </c>
    </row>
    <row r="94" spans="1:10" x14ac:dyDescent="0.25">
      <c r="A94" s="157" t="s">
        <v>254</v>
      </c>
      <c r="B94" s="157" t="s">
        <v>1229</v>
      </c>
      <c r="C94" s="157" t="s">
        <v>1222</v>
      </c>
      <c r="D94" s="157" t="s">
        <v>1228</v>
      </c>
      <c r="E94" s="157" t="s">
        <v>1228</v>
      </c>
      <c r="F94" s="157" cm="1">
        <f t="array" ref="F94">INDEX('Lab.Calcs.Assumptions'!B$4:B$30,$J94)</f>
        <v>1.72E-2</v>
      </c>
      <c r="G94" s="157" cm="1">
        <f t="array" ref="G94">INDEX('Lab.Calcs.Assumptions'!C$4:C$30,$J94)</f>
        <v>1.958E-2</v>
      </c>
      <c r="H94" s="157" cm="1">
        <f t="array" ref="H94">INDEX('Lab.Calcs.Assumptions'!D$4:D$30,$J94)</f>
        <v>6.4769999999999994E-2</v>
      </c>
      <c r="I94" s="157" cm="1">
        <f t="array" ref="I94">INDEX('Lab.Calcs.Assumptions'!E$4:E$30,$J94)</f>
        <v>0.23189000000000001</v>
      </c>
      <c r="J94" s="157">
        <f>MATCH(E94,'Lab.Calcs.Assumptions'!$A$4:$A$30,0)</f>
        <v>19</v>
      </c>
    </row>
    <row r="95" spans="1:10" x14ac:dyDescent="0.25">
      <c r="A95" s="157" t="s">
        <v>205</v>
      </c>
      <c r="B95" s="157" t="s">
        <v>204</v>
      </c>
      <c r="C95" s="157" t="s">
        <v>1222</v>
      </c>
      <c r="D95" s="157" t="s">
        <v>1227</v>
      </c>
      <c r="E95" s="157" t="s">
        <v>1227</v>
      </c>
      <c r="F95" s="157" cm="1">
        <f t="array" ref="F95">INDEX('Lab.Calcs.Assumptions'!B$4:B$30,$J95)</f>
        <v>1.474E-2</v>
      </c>
      <c r="G95" s="157" cm="1">
        <f t="array" ref="G95">INDEX('Lab.Calcs.Assumptions'!C$4:C$30,$J95)</f>
        <v>1.678E-2</v>
      </c>
      <c r="H95" s="157" cm="1">
        <f t="array" ref="H95">INDEX('Lab.Calcs.Assumptions'!D$4:D$30,$J95)</f>
        <v>5.5509999999999997E-2</v>
      </c>
      <c r="I95" s="157" cm="1">
        <f t="array" ref="I95">INDEX('Lab.Calcs.Assumptions'!E$4:E$30,$J95)</f>
        <v>0.19872999999999999</v>
      </c>
      <c r="J95" s="157">
        <f>MATCH(E95,'Lab.Calcs.Assumptions'!$A$4:$A$30,0)</f>
        <v>21</v>
      </c>
    </row>
    <row r="96" spans="1:10" x14ac:dyDescent="0.25">
      <c r="A96" s="157" t="s">
        <v>203</v>
      </c>
      <c r="B96" s="157" t="s">
        <v>202</v>
      </c>
      <c r="C96" s="157" t="s">
        <v>1222</v>
      </c>
      <c r="D96" s="157" t="s">
        <v>1221</v>
      </c>
      <c r="E96" s="157" t="s">
        <v>1226</v>
      </c>
      <c r="F96" s="157" cm="1">
        <f t="array" ref="F96">INDEX('Lab.Calcs.Assumptions'!B$4:B$30,$J96)</f>
        <v>3.1989999999999998E-2</v>
      </c>
      <c r="G96" s="157" cm="1">
        <f t="array" ref="G96">INDEX('Lab.Calcs.Assumptions'!C$4:C$30,$J96)</f>
        <v>3.6400000000000002E-2</v>
      </c>
      <c r="H96" s="157" cm="1">
        <f t="array" ref="H96">INDEX('Lab.Calcs.Assumptions'!D$4:D$30,$J96)</f>
        <v>0.12044000000000001</v>
      </c>
      <c r="I96" s="157" cm="1">
        <f t="array" ref="I96">INDEX('Lab.Calcs.Assumptions'!E$4:E$30,$J96)</f>
        <v>0.43119000000000002</v>
      </c>
      <c r="J96" s="157">
        <f>MATCH(E96,'Lab.Calcs.Assumptions'!$A$4:$A$30,0)</f>
        <v>24</v>
      </c>
    </row>
    <row r="97" spans="1:10" x14ac:dyDescent="0.25">
      <c r="A97" s="157" t="s">
        <v>201</v>
      </c>
      <c r="B97" s="157" t="s">
        <v>200</v>
      </c>
      <c r="C97" s="157" t="s">
        <v>1222</v>
      </c>
      <c r="D97" s="157" t="s">
        <v>1221</v>
      </c>
      <c r="E97" s="157" t="s">
        <v>1225</v>
      </c>
      <c r="F97" s="157" cm="1">
        <f t="array" ref="F97">INDEX('Lab.Calcs.Assumptions'!B$4:B$30,$J97)</f>
        <v>2.8969999999999999E-2</v>
      </c>
      <c r="G97" s="157" cm="1">
        <f t="array" ref="G97">INDEX('Lab.Calcs.Assumptions'!C$4:C$30,$J97)</f>
        <v>3.2969999999999999E-2</v>
      </c>
      <c r="H97" s="157" cm="1">
        <f t="array" ref="H97">INDEX('Lab.Calcs.Assumptions'!D$4:D$30,$J97)</f>
        <v>0.1091</v>
      </c>
      <c r="I97" s="157" cm="1">
        <f t="array" ref="I97">INDEX('Lab.Calcs.Assumptions'!E$4:E$30,$J97)</f>
        <v>0.39056999999999997</v>
      </c>
      <c r="J97" s="157">
        <f>MATCH(E97,'Lab.Calcs.Assumptions'!$A$4:$A$30,0)</f>
        <v>26</v>
      </c>
    </row>
    <row r="98" spans="1:10" x14ac:dyDescent="0.25">
      <c r="A98" s="157" t="s">
        <v>199</v>
      </c>
      <c r="B98" s="157" t="s">
        <v>198</v>
      </c>
      <c r="C98" s="157" t="s">
        <v>1222</v>
      </c>
      <c r="D98" s="157" t="s">
        <v>1221</v>
      </c>
      <c r="E98" s="157" t="s">
        <v>1220</v>
      </c>
      <c r="F98" s="157" cm="1">
        <f t="array" ref="F98">INDEX('Lab.Calcs.Assumptions'!B$4:B$30,$J98)</f>
        <v>2.656E-2</v>
      </c>
      <c r="G98" s="157" cm="1">
        <f t="array" ref="G98">INDEX('Lab.Calcs.Assumptions'!C$4:C$30,$J98)</f>
        <v>3.023E-2</v>
      </c>
      <c r="H98" s="157" cm="1">
        <f t="array" ref="H98">INDEX('Lab.Calcs.Assumptions'!D$4:D$30,$J98)</f>
        <v>0.10002999999999999</v>
      </c>
      <c r="I98" s="157" cm="1">
        <f t="array" ref="I98">INDEX('Lab.Calcs.Assumptions'!E$4:E$30,$J98)</f>
        <v>0.35811999999999999</v>
      </c>
      <c r="J98" s="157">
        <f>MATCH(E98,'Lab.Calcs.Assumptions'!$A$4:$A$30,0)</f>
        <v>25</v>
      </c>
    </row>
    <row r="99" spans="1:10" x14ac:dyDescent="0.25">
      <c r="A99" s="157" t="s">
        <v>197</v>
      </c>
      <c r="B99" s="157" t="s">
        <v>196</v>
      </c>
      <c r="C99" s="157" t="s">
        <v>1222</v>
      </c>
      <c r="D99" s="157" t="s">
        <v>1221</v>
      </c>
      <c r="E99" s="157" t="s">
        <v>1220</v>
      </c>
      <c r="F99" s="157" cm="1">
        <f t="array" ref="F99">INDEX('Lab.Calcs.Assumptions'!B$4:B$30,$J99)</f>
        <v>2.656E-2</v>
      </c>
      <c r="G99" s="157" cm="1">
        <f t="array" ref="G99">INDEX('Lab.Calcs.Assumptions'!C$4:C$30,$J99)</f>
        <v>3.023E-2</v>
      </c>
      <c r="H99" s="157" cm="1">
        <f t="array" ref="H99">INDEX('Lab.Calcs.Assumptions'!D$4:D$30,$J99)</f>
        <v>0.10002999999999999</v>
      </c>
      <c r="I99" s="157" cm="1">
        <f t="array" ref="I99">INDEX('Lab.Calcs.Assumptions'!E$4:E$30,$J99)</f>
        <v>0.35811999999999999</v>
      </c>
      <c r="J99" s="157">
        <f>MATCH(E99,'Lab.Calcs.Assumptions'!$A$4:$A$30,0)</f>
        <v>25</v>
      </c>
    </row>
    <row r="100" spans="1:10" x14ac:dyDescent="0.25">
      <c r="A100" s="157" t="s">
        <v>195</v>
      </c>
      <c r="B100" s="157" t="s">
        <v>194</v>
      </c>
      <c r="C100" s="157" t="s">
        <v>1222</v>
      </c>
      <c r="D100" s="157" t="s">
        <v>1221</v>
      </c>
      <c r="E100" s="157" t="s">
        <v>1220</v>
      </c>
      <c r="F100" s="157" cm="1">
        <f t="array" ref="F100">INDEX('Lab.Calcs.Assumptions'!B$4:B$30,$J100)</f>
        <v>2.656E-2</v>
      </c>
      <c r="G100" s="157" cm="1">
        <f t="array" ref="G100">INDEX('Lab.Calcs.Assumptions'!C$4:C$30,$J100)</f>
        <v>3.023E-2</v>
      </c>
      <c r="H100" s="157" cm="1">
        <f t="array" ref="H100">INDEX('Lab.Calcs.Assumptions'!D$4:D$30,$J100)</f>
        <v>0.10002999999999999</v>
      </c>
      <c r="I100" s="157" cm="1">
        <f t="array" ref="I100">INDEX('Lab.Calcs.Assumptions'!E$4:E$30,$J100)</f>
        <v>0.35811999999999999</v>
      </c>
      <c r="J100" s="157">
        <f>MATCH(E100,'Lab.Calcs.Assumptions'!$A$4:$A$30,0)</f>
        <v>25</v>
      </c>
    </row>
    <row r="101" spans="1:10" x14ac:dyDescent="0.25">
      <c r="A101" s="157" t="s">
        <v>193</v>
      </c>
      <c r="B101" s="157" t="s">
        <v>192</v>
      </c>
      <c r="C101" s="157" t="s">
        <v>1222</v>
      </c>
      <c r="D101" s="157" t="s">
        <v>1221</v>
      </c>
      <c r="E101" s="157" t="s">
        <v>1220</v>
      </c>
      <c r="F101" s="157" cm="1">
        <f t="array" ref="F101">INDEX('Lab.Calcs.Assumptions'!B$4:B$30,$J101)</f>
        <v>2.656E-2</v>
      </c>
      <c r="G101" s="157" cm="1">
        <f t="array" ref="G101">INDEX('Lab.Calcs.Assumptions'!C$4:C$30,$J101)</f>
        <v>3.023E-2</v>
      </c>
      <c r="H101" s="157" cm="1">
        <f t="array" ref="H101">INDEX('Lab.Calcs.Assumptions'!D$4:D$30,$J101)</f>
        <v>0.10002999999999999</v>
      </c>
      <c r="I101" s="157" cm="1">
        <f t="array" ref="I101">INDEX('Lab.Calcs.Assumptions'!E$4:E$30,$J101)</f>
        <v>0.35811999999999999</v>
      </c>
      <c r="J101" s="157">
        <f>MATCH(E101,'Lab.Calcs.Assumptions'!$A$4:$A$30,0)</f>
        <v>25</v>
      </c>
    </row>
    <row r="102" spans="1:10" x14ac:dyDescent="0.25">
      <c r="A102" s="157" t="s">
        <v>191</v>
      </c>
      <c r="B102" s="157" t="s">
        <v>190</v>
      </c>
      <c r="C102" s="157" t="s">
        <v>1222</v>
      </c>
      <c r="D102" s="157" t="s">
        <v>1221</v>
      </c>
      <c r="E102" s="157" t="s">
        <v>1220</v>
      </c>
      <c r="F102" s="157" cm="1">
        <f t="array" ref="F102">INDEX('Lab.Calcs.Assumptions'!B$4:B$30,$J102)</f>
        <v>2.656E-2</v>
      </c>
      <c r="G102" s="157" cm="1">
        <f t="array" ref="G102">INDEX('Lab.Calcs.Assumptions'!C$4:C$30,$J102)</f>
        <v>3.023E-2</v>
      </c>
      <c r="H102" s="157" cm="1">
        <f t="array" ref="H102">INDEX('Lab.Calcs.Assumptions'!D$4:D$30,$J102)</f>
        <v>0.10002999999999999</v>
      </c>
      <c r="I102" s="157" cm="1">
        <f t="array" ref="I102">INDEX('Lab.Calcs.Assumptions'!E$4:E$30,$J102)</f>
        <v>0.35811999999999999</v>
      </c>
      <c r="J102" s="157">
        <f>MATCH(E102,'Lab.Calcs.Assumptions'!$A$4:$A$30,0)</f>
        <v>25</v>
      </c>
    </row>
    <row r="103" spans="1:10" x14ac:dyDescent="0.25">
      <c r="A103" s="157" t="s">
        <v>189</v>
      </c>
      <c r="B103" s="157" t="s">
        <v>188</v>
      </c>
      <c r="C103" s="157" t="s">
        <v>1222</v>
      </c>
      <c r="D103" s="157" t="s">
        <v>1221</v>
      </c>
      <c r="E103" s="157" t="s">
        <v>1220</v>
      </c>
      <c r="F103" s="157" cm="1">
        <f t="array" ref="F103">INDEX('Lab.Calcs.Assumptions'!B$4:B$30,$J103)</f>
        <v>2.656E-2</v>
      </c>
      <c r="G103" s="157" cm="1">
        <f t="array" ref="G103">INDEX('Lab.Calcs.Assumptions'!C$4:C$30,$J103)</f>
        <v>3.023E-2</v>
      </c>
      <c r="H103" s="157" cm="1">
        <f t="array" ref="H103">INDEX('Lab.Calcs.Assumptions'!D$4:D$30,$J103)</f>
        <v>0.10002999999999999</v>
      </c>
      <c r="I103" s="157" cm="1">
        <f t="array" ref="I103">INDEX('Lab.Calcs.Assumptions'!E$4:E$30,$J103)</f>
        <v>0.35811999999999999</v>
      </c>
      <c r="J103" s="157">
        <f>MATCH(E103,'Lab.Calcs.Assumptions'!$A$4:$A$30,0)</f>
        <v>25</v>
      </c>
    </row>
    <row r="104" spans="1:10" x14ac:dyDescent="0.25">
      <c r="A104" s="157" t="s">
        <v>187</v>
      </c>
      <c r="B104" s="157" t="s">
        <v>186</v>
      </c>
      <c r="C104" s="157" t="s">
        <v>1222</v>
      </c>
      <c r="D104" s="157" t="s">
        <v>1221</v>
      </c>
      <c r="E104" s="157" t="s">
        <v>1220</v>
      </c>
      <c r="F104" s="157" cm="1">
        <f t="array" ref="F104">INDEX('Lab.Calcs.Assumptions'!B$4:B$30,$J104)</f>
        <v>2.656E-2</v>
      </c>
      <c r="G104" s="157" cm="1">
        <f t="array" ref="G104">INDEX('Lab.Calcs.Assumptions'!C$4:C$30,$J104)</f>
        <v>3.023E-2</v>
      </c>
      <c r="H104" s="157" cm="1">
        <f t="array" ref="H104">INDEX('Lab.Calcs.Assumptions'!D$4:D$30,$J104)</f>
        <v>0.10002999999999999</v>
      </c>
      <c r="I104" s="157" cm="1">
        <f t="array" ref="I104">INDEX('Lab.Calcs.Assumptions'!E$4:E$30,$J104)</f>
        <v>0.35811999999999999</v>
      </c>
      <c r="J104" s="157">
        <f>MATCH(E104,'Lab.Calcs.Assumptions'!$A$4:$A$30,0)</f>
        <v>25</v>
      </c>
    </row>
    <row r="105" spans="1:10" x14ac:dyDescent="0.25">
      <c r="A105" s="157" t="s">
        <v>185</v>
      </c>
      <c r="B105" s="157" t="s">
        <v>184</v>
      </c>
      <c r="C105" s="157" t="s">
        <v>1222</v>
      </c>
      <c r="D105" s="157" t="s">
        <v>1221</v>
      </c>
      <c r="E105" s="157" t="s">
        <v>1220</v>
      </c>
      <c r="F105" s="157" cm="1">
        <f t="array" ref="F105">INDEX('Lab.Calcs.Assumptions'!B$4:B$30,$J105)</f>
        <v>2.656E-2</v>
      </c>
      <c r="G105" s="157" cm="1">
        <f t="array" ref="G105">INDEX('Lab.Calcs.Assumptions'!C$4:C$30,$J105)</f>
        <v>3.023E-2</v>
      </c>
      <c r="H105" s="157" cm="1">
        <f t="array" ref="H105">INDEX('Lab.Calcs.Assumptions'!D$4:D$30,$J105)</f>
        <v>0.10002999999999999</v>
      </c>
      <c r="I105" s="157" cm="1">
        <f t="array" ref="I105">INDEX('Lab.Calcs.Assumptions'!E$4:E$30,$J105)</f>
        <v>0.35811999999999999</v>
      </c>
      <c r="J105" s="157">
        <f>MATCH(E105,'Lab.Calcs.Assumptions'!$A$4:$A$30,0)</f>
        <v>25</v>
      </c>
    </row>
    <row r="106" spans="1:10" x14ac:dyDescent="0.25">
      <c r="A106" s="157" t="s">
        <v>183</v>
      </c>
      <c r="B106" s="157" t="s">
        <v>182</v>
      </c>
      <c r="C106" s="157" t="s">
        <v>1222</v>
      </c>
      <c r="D106" s="157" t="s">
        <v>1221</v>
      </c>
      <c r="E106" s="157" t="s">
        <v>1220</v>
      </c>
      <c r="F106" s="157" cm="1">
        <f t="array" ref="F106">INDEX('Lab.Calcs.Assumptions'!B$4:B$30,$J106)</f>
        <v>2.656E-2</v>
      </c>
      <c r="G106" s="157" cm="1">
        <f t="array" ref="G106">INDEX('Lab.Calcs.Assumptions'!C$4:C$30,$J106)</f>
        <v>3.023E-2</v>
      </c>
      <c r="H106" s="157" cm="1">
        <f t="array" ref="H106">INDEX('Lab.Calcs.Assumptions'!D$4:D$30,$J106)</f>
        <v>0.10002999999999999</v>
      </c>
      <c r="I106" s="157" cm="1">
        <f t="array" ref="I106">INDEX('Lab.Calcs.Assumptions'!E$4:E$30,$J106)</f>
        <v>0.35811999999999999</v>
      </c>
      <c r="J106" s="157">
        <f>MATCH(E106,'Lab.Calcs.Assumptions'!$A$4:$A$30,0)</f>
        <v>25</v>
      </c>
    </row>
    <row r="107" spans="1:10" x14ac:dyDescent="0.25">
      <c r="A107" s="157" t="s">
        <v>181</v>
      </c>
      <c r="B107" s="157" t="s">
        <v>180</v>
      </c>
      <c r="C107" s="157" t="s">
        <v>1222</v>
      </c>
      <c r="D107" s="157" t="s">
        <v>1221</v>
      </c>
      <c r="E107" s="157" t="s">
        <v>1224</v>
      </c>
      <c r="F107" s="157" cm="1">
        <f t="array" ref="F107">INDEX('Lab.Calcs.Assumptions'!B$4:B$30,$J107)</f>
        <v>0.16136</v>
      </c>
      <c r="G107" s="157" cm="1">
        <f t="array" ref="G107">INDEX('Lab.Calcs.Assumptions'!C$4:C$30,$J107)</f>
        <v>0.18362999999999999</v>
      </c>
      <c r="H107" s="157" cm="1">
        <f t="array" ref="H107">INDEX('Lab.Calcs.Assumptions'!D$4:D$30,$J107)</f>
        <v>0.60758999999999996</v>
      </c>
      <c r="I107" s="157" cm="1">
        <f t="array" ref="I107">INDEX('Lab.Calcs.Assumptions'!E$4:E$30,$J107)</f>
        <v>2.1752199999999999</v>
      </c>
      <c r="J107" s="157">
        <f>MATCH(E107,'Lab.Calcs.Assumptions'!$A$4:$A$30,0)</f>
        <v>23</v>
      </c>
    </row>
    <row r="108" spans="1:10" x14ac:dyDescent="0.25">
      <c r="A108" s="157" t="s">
        <v>179</v>
      </c>
      <c r="B108" s="157" t="s">
        <v>178</v>
      </c>
      <c r="C108" s="157" t="s">
        <v>1222</v>
      </c>
      <c r="D108" s="157" t="s">
        <v>1221</v>
      </c>
      <c r="E108" s="157" t="s">
        <v>1223</v>
      </c>
      <c r="F108" s="157" cm="1">
        <f t="array" ref="F108">INDEX('Lab.Calcs.Assumptions'!B$4:B$30,$J108)</f>
        <v>2.6519999999999998E-2</v>
      </c>
      <c r="G108" s="157" cm="1">
        <f t="array" ref="G108">INDEX('Lab.Calcs.Assumptions'!C$4:C$30,$J108)</f>
        <v>3.0179999999999998E-2</v>
      </c>
      <c r="H108" s="157" cm="1">
        <f t="array" ref="H108">INDEX('Lab.Calcs.Assumptions'!D$4:D$30,$J108)</f>
        <v>9.9849999999999994E-2</v>
      </c>
      <c r="I108" s="157" cm="1">
        <f t="array" ref="I108">INDEX('Lab.Calcs.Assumptions'!E$4:E$30,$J108)</f>
        <v>0.35747000000000001</v>
      </c>
      <c r="J108" s="157">
        <f>MATCH(E108,'Lab.Calcs.Assumptions'!$A$4:$A$30,0)</f>
        <v>27</v>
      </c>
    </row>
    <row r="109" spans="1:10" x14ac:dyDescent="0.25">
      <c r="A109" s="157" t="s">
        <v>177</v>
      </c>
      <c r="B109" s="157" t="s">
        <v>176</v>
      </c>
      <c r="C109" s="157" t="s">
        <v>1222</v>
      </c>
      <c r="D109" s="157" t="s">
        <v>1221</v>
      </c>
      <c r="E109" s="157" t="s">
        <v>1220</v>
      </c>
      <c r="F109" s="157" cm="1">
        <f t="array" ref="F109">INDEX('Lab.Calcs.Assumptions'!B$4:B$30,$J109)</f>
        <v>2.656E-2</v>
      </c>
      <c r="G109" s="157" cm="1">
        <f t="array" ref="G109">INDEX('Lab.Calcs.Assumptions'!C$4:C$30,$J109)</f>
        <v>3.023E-2</v>
      </c>
      <c r="H109" s="157" cm="1">
        <f t="array" ref="H109">INDEX('Lab.Calcs.Assumptions'!D$4:D$30,$J109)</f>
        <v>0.10002999999999999</v>
      </c>
      <c r="I109" s="157" cm="1">
        <f t="array" ref="I109">INDEX('Lab.Calcs.Assumptions'!E$4:E$30,$J109)</f>
        <v>0.35811999999999999</v>
      </c>
      <c r="J109" s="157">
        <f>MATCH(E109,'Lab.Calcs.Assumptions'!$A$4:$A$30,0)</f>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1BF7B-6031-41DA-ADC2-FBC0CA291CE2}">
  <sheetPr codeName="Sheet19">
    <tabColor theme="5"/>
  </sheetPr>
  <dimension ref="A1:AE134"/>
  <sheetViews>
    <sheetView workbookViewId="0"/>
  </sheetViews>
  <sheetFormatPr defaultColWidth="9.140625" defaultRowHeight="15" x14ac:dyDescent="0.25"/>
  <cols>
    <col min="1" max="1" width="19.42578125" style="157" customWidth="1"/>
    <col min="2" max="5" width="9.140625" style="157"/>
    <col min="6" max="6" width="13.85546875" style="157" customWidth="1"/>
    <col min="7" max="7" width="16.7109375" style="157" bestFit="1" customWidth="1"/>
    <col min="8" max="8" width="10.85546875" style="157" customWidth="1"/>
    <col min="9" max="9" width="12" style="157" customWidth="1"/>
    <col min="10" max="10" width="11.42578125" style="157" bestFit="1" customWidth="1"/>
    <col min="11" max="11" width="12.7109375" style="157" bestFit="1" customWidth="1"/>
    <col min="12" max="12" width="13.85546875" style="157" customWidth="1"/>
    <col min="13" max="13" width="13.85546875" style="157" bestFit="1" customWidth="1"/>
    <col min="14" max="16" width="9.140625" style="157"/>
    <col min="17" max="17" width="16.7109375" style="157" bestFit="1" customWidth="1"/>
    <col min="18" max="22" width="9.140625" style="157"/>
    <col min="23" max="23" width="16.85546875" style="157" customWidth="1"/>
    <col min="24" max="16384" width="9.140625" style="157"/>
  </cols>
  <sheetData>
    <row r="1" spans="1:16" x14ac:dyDescent="0.25">
      <c r="B1" s="157" t="s">
        <v>1516</v>
      </c>
      <c r="H1" s="157" t="s">
        <v>156</v>
      </c>
      <c r="I1" s="157">
        <f t="array" ref="I1:L1">TRANSPOSE('From SAM'!Q28:Q31)*1000</f>
        <v>110.01900000000001</v>
      </c>
      <c r="J1" s="157">
        <v>112.75</v>
      </c>
      <c r="K1" s="157">
        <v>173.19399999999999</v>
      </c>
      <c r="L1" s="157">
        <v>395.77199999999999</v>
      </c>
    </row>
    <row r="2" spans="1:16" x14ac:dyDescent="0.25">
      <c r="A2" s="157" t="s">
        <v>1396</v>
      </c>
      <c r="B2" s="157" t="s">
        <v>1454</v>
      </c>
      <c r="C2" s="157" t="s">
        <v>1453</v>
      </c>
      <c r="D2" s="157" t="s">
        <v>1452</v>
      </c>
      <c r="E2" s="157" t="s">
        <v>1451</v>
      </c>
      <c r="F2" s="157" t="s">
        <v>115</v>
      </c>
      <c r="G2" s="157" t="s">
        <v>717</v>
      </c>
      <c r="H2" s="157" t="s">
        <v>115</v>
      </c>
      <c r="I2" s="157" t="str">
        <f>B2</f>
        <v>flab-p</v>
      </c>
      <c r="J2" s="157" t="str">
        <f>C2</f>
        <v>flab-m</v>
      </c>
      <c r="K2" s="157" t="str">
        <f>D2</f>
        <v>flab-s</v>
      </c>
      <c r="L2" s="157" t="str">
        <f>E2</f>
        <v>flab-t</v>
      </c>
      <c r="M2" s="157" t="s">
        <v>1515</v>
      </c>
      <c r="N2" s="157" t="s">
        <v>1514</v>
      </c>
      <c r="O2" s="157" t="s">
        <v>1513</v>
      </c>
      <c r="P2" s="157" t="s">
        <v>1512</v>
      </c>
    </row>
    <row r="3" spans="1:16" x14ac:dyDescent="0.25">
      <c r="A3" s="157" t="s">
        <v>1511</v>
      </c>
      <c r="B3" s="157">
        <f t="array" ref="B3:E3">TRANSPOSE('From SAM'!G28:G31)</f>
        <v>5.1587548519758449E-2</v>
      </c>
      <c r="C3" s="157">
        <v>5.8710463397399472E-2</v>
      </c>
      <c r="D3" s="157">
        <v>0.19425465215810078</v>
      </c>
      <c r="E3" s="157">
        <v>0.69544733592474128</v>
      </c>
      <c r="F3" s="258" t="s">
        <v>1421</v>
      </c>
      <c r="G3" s="157" t="s">
        <v>147</v>
      </c>
      <c r="H3" s="258" t="s">
        <v>1510</v>
      </c>
    </row>
    <row r="4" spans="1:16" x14ac:dyDescent="0.25">
      <c r="A4" s="157" t="s">
        <v>1388</v>
      </c>
      <c r="B4" s="157">
        <f t="shared" ref="B4:E22" si="0">ROUND(B$3*$F4,5)</f>
        <v>1.72E-2</v>
      </c>
      <c r="C4" s="157">
        <f t="shared" si="0"/>
        <v>1.958E-2</v>
      </c>
      <c r="D4" s="157">
        <f t="shared" si="0"/>
        <v>6.4769999999999994E-2</v>
      </c>
      <c r="E4" s="157">
        <f t="shared" si="0"/>
        <v>0.23189000000000001</v>
      </c>
      <c r="F4" s="249">
        <f>F6</f>
        <v>0.33344431232659533</v>
      </c>
      <c r="G4" s="157">
        <f t="shared" ref="G4:G22" si="1">SUMIF($A$40:$A$47,A4,$B$40:$B$47)</f>
        <v>1.58</v>
      </c>
      <c r="H4" s="249">
        <f t="shared" ref="H4:H22" si="2">G4*F4</f>
        <v>0.52684201347602067</v>
      </c>
      <c r="I4" s="259">
        <f t="shared" ref="I4:I22" si="3">B4*$G4*I$1</f>
        <v>2.9898763440000002</v>
      </c>
      <c r="J4" s="259">
        <f t="shared" ref="J4:J22" si="4">C4*$G4*J$1</f>
        <v>3.4880791000000002</v>
      </c>
      <c r="K4" s="259">
        <f t="shared" ref="K4:K22" si="5">D4*$G4*K$1</f>
        <v>17.7240851004</v>
      </c>
      <c r="L4" s="259">
        <f t="shared" ref="L4:L22" si="6">E4*$G4*L$1</f>
        <v>145.00539914640001</v>
      </c>
      <c r="M4" s="259">
        <f t="shared" ref="M4:M22" si="7">SUM(I4:L4)</f>
        <v>169.20743969080002</v>
      </c>
      <c r="O4" s="251">
        <f t="shared" ref="O4:O30" si="8">SUMPRODUCT(B4:E4,$I$1:$L$1)</f>
        <v>107.09331625999999</v>
      </c>
      <c r="P4" s="157">
        <v>3.9</v>
      </c>
    </row>
    <row r="5" spans="1:16" x14ac:dyDescent="0.25">
      <c r="A5" s="157" t="s">
        <v>1385</v>
      </c>
      <c r="B5" s="157">
        <f t="shared" si="0"/>
        <v>1.72E-2</v>
      </c>
      <c r="C5" s="157">
        <f t="shared" si="0"/>
        <v>1.958E-2</v>
      </c>
      <c r="D5" s="157">
        <f t="shared" si="0"/>
        <v>6.4769999999999994E-2</v>
      </c>
      <c r="E5" s="157">
        <f t="shared" si="0"/>
        <v>0.23189000000000001</v>
      </c>
      <c r="F5" s="249">
        <f>F6</f>
        <v>0.33344431232659533</v>
      </c>
      <c r="G5" s="157">
        <f t="shared" si="1"/>
        <v>0</v>
      </c>
      <c r="H5" s="249">
        <f t="shared" si="2"/>
        <v>0</v>
      </c>
      <c r="I5" s="259">
        <f t="shared" si="3"/>
        <v>0</v>
      </c>
      <c r="J5" s="259">
        <f t="shared" si="4"/>
        <v>0</v>
      </c>
      <c r="K5" s="259">
        <f t="shared" si="5"/>
        <v>0</v>
      </c>
      <c r="L5" s="259">
        <f t="shared" si="6"/>
        <v>0</v>
      </c>
      <c r="M5" s="259">
        <f t="shared" si="7"/>
        <v>0</v>
      </c>
      <c r="O5" s="251">
        <f t="shared" si="8"/>
        <v>107.09331625999999</v>
      </c>
    </row>
    <row r="6" spans="1:16" x14ac:dyDescent="0.25">
      <c r="A6" s="157" t="s">
        <v>1381</v>
      </c>
      <c r="B6" s="157">
        <f t="shared" si="0"/>
        <v>1.72E-2</v>
      </c>
      <c r="C6" s="157">
        <f t="shared" si="0"/>
        <v>1.958E-2</v>
      </c>
      <c r="D6" s="157">
        <f t="shared" si="0"/>
        <v>6.4769999999999994E-2</v>
      </c>
      <c r="E6" s="157">
        <f t="shared" si="0"/>
        <v>0.23189000000000001</v>
      </c>
      <c r="F6" s="249">
        <f>F18</f>
        <v>0.33344431232659533</v>
      </c>
      <c r="G6" s="157">
        <f t="shared" si="1"/>
        <v>0.67</v>
      </c>
      <c r="H6" s="249">
        <f t="shared" si="2"/>
        <v>0.22340768925881888</v>
      </c>
      <c r="I6" s="259">
        <f t="shared" si="3"/>
        <v>1.2678589560000002</v>
      </c>
      <c r="J6" s="259">
        <f t="shared" si="4"/>
        <v>1.47912215</v>
      </c>
      <c r="K6" s="259">
        <f t="shared" si="5"/>
        <v>7.5159095045999997</v>
      </c>
      <c r="L6" s="259">
        <f t="shared" si="6"/>
        <v>61.489631283600005</v>
      </c>
      <c r="M6" s="259">
        <f t="shared" si="7"/>
        <v>71.752521894200001</v>
      </c>
      <c r="O6" s="251">
        <f t="shared" si="8"/>
        <v>107.09331625999999</v>
      </c>
      <c r="P6" s="157">
        <v>36</v>
      </c>
    </row>
    <row r="7" spans="1:16" x14ac:dyDescent="0.25">
      <c r="A7" s="157" t="s">
        <v>1234</v>
      </c>
      <c r="B7" s="157">
        <f t="shared" si="0"/>
        <v>0</v>
      </c>
      <c r="C7" s="157">
        <f t="shared" si="0"/>
        <v>0</v>
      </c>
      <c r="D7" s="157">
        <f t="shared" si="0"/>
        <v>0</v>
      </c>
      <c r="E7" s="157">
        <f t="shared" si="0"/>
        <v>0</v>
      </c>
      <c r="F7" s="249">
        <v>0</v>
      </c>
      <c r="G7" s="157">
        <f t="shared" si="1"/>
        <v>1.5</v>
      </c>
      <c r="H7" s="249">
        <f t="shared" si="2"/>
        <v>0</v>
      </c>
      <c r="I7" s="259">
        <f t="shared" si="3"/>
        <v>0</v>
      </c>
      <c r="J7" s="259">
        <f t="shared" si="4"/>
        <v>0</v>
      </c>
      <c r="K7" s="259">
        <f t="shared" si="5"/>
        <v>0</v>
      </c>
      <c r="L7" s="259">
        <f t="shared" si="6"/>
        <v>0</v>
      </c>
      <c r="M7" s="259">
        <f t="shared" si="7"/>
        <v>0</v>
      </c>
      <c r="O7" s="251">
        <f t="shared" si="8"/>
        <v>0</v>
      </c>
    </row>
    <row r="8" spans="1:16" x14ac:dyDescent="0.25">
      <c r="A8" s="157" t="s">
        <v>1363</v>
      </c>
      <c r="B8" s="157">
        <f t="shared" si="0"/>
        <v>1.941E-2</v>
      </c>
      <c r="C8" s="157">
        <f t="shared" si="0"/>
        <v>2.2089999999999999E-2</v>
      </c>
      <c r="D8" s="157">
        <f t="shared" si="0"/>
        <v>7.3090000000000002E-2</v>
      </c>
      <c r="E8" s="157">
        <f t="shared" si="0"/>
        <v>0.26167000000000001</v>
      </c>
      <c r="F8" s="249">
        <f>L60/1000</f>
        <v>0.37626180068603343</v>
      </c>
      <c r="G8" s="157">
        <f t="shared" si="1"/>
        <v>0</v>
      </c>
      <c r="H8" s="249">
        <f t="shared" si="2"/>
        <v>0</v>
      </c>
      <c r="I8" s="259">
        <f t="shared" si="3"/>
        <v>0</v>
      </c>
      <c r="J8" s="259">
        <f t="shared" si="4"/>
        <v>0</v>
      </c>
      <c r="K8" s="259">
        <f t="shared" si="5"/>
        <v>0</v>
      </c>
      <c r="L8" s="259">
        <f t="shared" si="6"/>
        <v>0</v>
      </c>
      <c r="M8" s="259">
        <f t="shared" si="7"/>
        <v>0</v>
      </c>
      <c r="O8" s="251">
        <f t="shared" si="8"/>
        <v>120.84652498999999</v>
      </c>
      <c r="P8" s="157">
        <v>256</v>
      </c>
    </row>
    <row r="9" spans="1:16" x14ac:dyDescent="0.25">
      <c r="A9" s="157" t="s">
        <v>1346</v>
      </c>
      <c r="B9" s="157">
        <f t="shared" si="0"/>
        <v>1.941E-2</v>
      </c>
      <c r="C9" s="157">
        <f t="shared" si="0"/>
        <v>2.2089999999999999E-2</v>
      </c>
      <c r="D9" s="157">
        <f t="shared" si="0"/>
        <v>7.3090000000000002E-2</v>
      </c>
      <c r="E9" s="157">
        <f t="shared" si="0"/>
        <v>0.26167000000000001</v>
      </c>
      <c r="F9" s="249">
        <f>F8</f>
        <v>0.37626180068603343</v>
      </c>
      <c r="G9" s="157">
        <f t="shared" si="1"/>
        <v>0</v>
      </c>
      <c r="H9" s="249">
        <f t="shared" si="2"/>
        <v>0</v>
      </c>
      <c r="I9" s="259">
        <f t="shared" si="3"/>
        <v>0</v>
      </c>
      <c r="J9" s="259">
        <f t="shared" si="4"/>
        <v>0</v>
      </c>
      <c r="K9" s="259">
        <f t="shared" si="5"/>
        <v>0</v>
      </c>
      <c r="L9" s="259">
        <f t="shared" si="6"/>
        <v>0</v>
      </c>
      <c r="M9" s="259">
        <f t="shared" si="7"/>
        <v>0</v>
      </c>
      <c r="O9" s="251">
        <f t="shared" si="8"/>
        <v>120.84652498999999</v>
      </c>
      <c r="P9" s="157">
        <v>299</v>
      </c>
    </row>
    <row r="10" spans="1:16" x14ac:dyDescent="0.25">
      <c r="A10" s="157" t="s">
        <v>1344</v>
      </c>
      <c r="B10" s="157">
        <f t="shared" si="0"/>
        <v>1.941E-2</v>
      </c>
      <c r="C10" s="157">
        <f t="shared" si="0"/>
        <v>2.2089999999999999E-2</v>
      </c>
      <c r="D10" s="157">
        <f t="shared" si="0"/>
        <v>7.3090000000000002E-2</v>
      </c>
      <c r="E10" s="157">
        <f t="shared" si="0"/>
        <v>0.26167000000000001</v>
      </c>
      <c r="F10" s="249">
        <f>F9</f>
        <v>0.37626180068603343</v>
      </c>
      <c r="G10" s="157">
        <f t="shared" si="1"/>
        <v>0</v>
      </c>
      <c r="H10" s="249">
        <f t="shared" si="2"/>
        <v>0</v>
      </c>
      <c r="I10" s="259">
        <f t="shared" si="3"/>
        <v>0</v>
      </c>
      <c r="J10" s="259">
        <f t="shared" si="4"/>
        <v>0</v>
      </c>
      <c r="K10" s="259">
        <f t="shared" si="5"/>
        <v>0</v>
      </c>
      <c r="L10" s="259">
        <f t="shared" si="6"/>
        <v>0</v>
      </c>
      <c r="M10" s="259">
        <f t="shared" si="7"/>
        <v>0</v>
      </c>
      <c r="O10" s="251">
        <f t="shared" si="8"/>
        <v>120.84652498999999</v>
      </c>
      <c r="P10" s="157">
        <v>299</v>
      </c>
    </row>
    <row r="11" spans="1:16" x14ac:dyDescent="0.25">
      <c r="A11" s="157" t="s">
        <v>1341</v>
      </c>
      <c r="B11" s="157">
        <f t="shared" si="0"/>
        <v>1.941E-2</v>
      </c>
      <c r="C11" s="157">
        <f t="shared" si="0"/>
        <v>2.2089999999999999E-2</v>
      </c>
      <c r="D11" s="157">
        <f t="shared" si="0"/>
        <v>7.3090000000000002E-2</v>
      </c>
      <c r="E11" s="157">
        <f t="shared" si="0"/>
        <v>0.26167000000000001</v>
      </c>
      <c r="F11" s="249">
        <f>F10</f>
        <v>0.37626180068603343</v>
      </c>
      <c r="G11" s="157">
        <f t="shared" si="1"/>
        <v>0</v>
      </c>
      <c r="H11" s="249">
        <f t="shared" si="2"/>
        <v>0</v>
      </c>
      <c r="I11" s="259">
        <f t="shared" si="3"/>
        <v>0</v>
      </c>
      <c r="J11" s="259">
        <f t="shared" si="4"/>
        <v>0</v>
      </c>
      <c r="K11" s="259">
        <f t="shared" si="5"/>
        <v>0</v>
      </c>
      <c r="L11" s="259">
        <f t="shared" si="6"/>
        <v>0</v>
      </c>
      <c r="M11" s="259">
        <f t="shared" si="7"/>
        <v>0</v>
      </c>
      <c r="O11" s="251">
        <f t="shared" si="8"/>
        <v>120.84652498999999</v>
      </c>
      <c r="P11" s="157">
        <v>299</v>
      </c>
    </row>
    <row r="12" spans="1:16" x14ac:dyDescent="0.25">
      <c r="A12" s="157" t="s">
        <v>1321</v>
      </c>
      <c r="B12" s="157">
        <f t="shared" si="0"/>
        <v>2.3769999999999999E-2</v>
      </c>
      <c r="C12" s="157">
        <f t="shared" si="0"/>
        <v>2.7050000000000001E-2</v>
      </c>
      <c r="D12" s="157">
        <f t="shared" si="0"/>
        <v>8.949E-2</v>
      </c>
      <c r="E12" s="157">
        <f t="shared" si="0"/>
        <v>0.32040000000000002</v>
      </c>
      <c r="F12" s="249">
        <f>L62/1000</f>
        <v>0.46070370370370367</v>
      </c>
      <c r="G12" s="157">
        <f t="shared" si="1"/>
        <v>0</v>
      </c>
      <c r="H12" s="249">
        <f t="shared" si="2"/>
        <v>0</v>
      </c>
      <c r="I12" s="259">
        <f t="shared" si="3"/>
        <v>0</v>
      </c>
      <c r="J12" s="259">
        <f t="shared" si="4"/>
        <v>0</v>
      </c>
      <c r="K12" s="259">
        <f t="shared" si="5"/>
        <v>0</v>
      </c>
      <c r="L12" s="259">
        <f t="shared" si="6"/>
        <v>0</v>
      </c>
      <c r="M12" s="259">
        <f t="shared" si="7"/>
        <v>0</v>
      </c>
      <c r="O12" s="251">
        <f t="shared" si="8"/>
        <v>147.96951899000001</v>
      </c>
      <c r="P12" s="157">
        <v>869</v>
      </c>
    </row>
    <row r="13" spans="1:16" x14ac:dyDescent="0.25">
      <c r="A13" s="157" t="s">
        <v>1317</v>
      </c>
      <c r="B13" s="157">
        <f t="shared" si="0"/>
        <v>1.6049999999999998E-2</v>
      </c>
      <c r="C13" s="157">
        <f t="shared" si="0"/>
        <v>1.8259999999999998E-2</v>
      </c>
      <c r="D13" s="157">
        <f t="shared" si="0"/>
        <v>6.0429999999999998E-2</v>
      </c>
      <c r="E13" s="157">
        <f t="shared" si="0"/>
        <v>0.21634</v>
      </c>
      <c r="F13" s="249">
        <f>L61/1000</f>
        <v>0.31108281387244646</v>
      </c>
      <c r="G13" s="157">
        <f t="shared" si="1"/>
        <v>0</v>
      </c>
      <c r="H13" s="249">
        <f t="shared" si="2"/>
        <v>0</v>
      </c>
      <c r="I13" s="259">
        <f t="shared" si="3"/>
        <v>0</v>
      </c>
      <c r="J13" s="259">
        <f t="shared" si="4"/>
        <v>0</v>
      </c>
      <c r="K13" s="259">
        <f t="shared" si="5"/>
        <v>0</v>
      </c>
      <c r="L13" s="259">
        <f t="shared" si="6"/>
        <v>0</v>
      </c>
      <c r="M13" s="259">
        <f t="shared" si="7"/>
        <v>0</v>
      </c>
      <c r="O13" s="251">
        <f t="shared" si="8"/>
        <v>99.912047849999993</v>
      </c>
      <c r="P13" s="157">
        <v>554</v>
      </c>
    </row>
    <row r="14" spans="1:16" x14ac:dyDescent="0.25">
      <c r="A14" s="157" t="s">
        <v>1314</v>
      </c>
      <c r="B14" s="157">
        <f t="shared" si="0"/>
        <v>1.72E-2</v>
      </c>
      <c r="C14" s="157">
        <f t="shared" si="0"/>
        <v>1.958E-2</v>
      </c>
      <c r="D14" s="157">
        <f t="shared" si="0"/>
        <v>6.4769999999999994E-2</v>
      </c>
      <c r="E14" s="157">
        <f t="shared" si="0"/>
        <v>0.23189000000000001</v>
      </c>
      <c r="F14" s="249">
        <f>F17</f>
        <v>0.33344431232659533</v>
      </c>
      <c r="G14" s="157">
        <f t="shared" si="1"/>
        <v>0</v>
      </c>
      <c r="H14" s="249">
        <f t="shared" si="2"/>
        <v>0</v>
      </c>
      <c r="I14" s="259">
        <f t="shared" si="3"/>
        <v>0</v>
      </c>
      <c r="J14" s="259">
        <f t="shared" si="4"/>
        <v>0</v>
      </c>
      <c r="K14" s="259">
        <f t="shared" si="5"/>
        <v>0</v>
      </c>
      <c r="L14" s="259">
        <f t="shared" si="6"/>
        <v>0</v>
      </c>
      <c r="M14" s="259">
        <f t="shared" si="7"/>
        <v>0</v>
      </c>
      <c r="O14" s="251">
        <f t="shared" si="8"/>
        <v>107.09331625999999</v>
      </c>
    </row>
    <row r="15" spans="1:16" x14ac:dyDescent="0.25">
      <c r="A15" s="157" t="s">
        <v>1297</v>
      </c>
      <c r="B15" s="157">
        <f t="shared" si="0"/>
        <v>1.72E-2</v>
      </c>
      <c r="C15" s="157">
        <f t="shared" si="0"/>
        <v>1.958E-2</v>
      </c>
      <c r="D15" s="157">
        <f t="shared" si="0"/>
        <v>6.4769999999999994E-2</v>
      </c>
      <c r="E15" s="157">
        <f t="shared" si="0"/>
        <v>0.23189000000000001</v>
      </c>
      <c r="F15" s="249">
        <f>F17</f>
        <v>0.33344431232659533</v>
      </c>
      <c r="G15" s="157">
        <f t="shared" si="1"/>
        <v>0</v>
      </c>
      <c r="H15" s="249">
        <f t="shared" si="2"/>
        <v>0</v>
      </c>
      <c r="I15" s="259">
        <f t="shared" si="3"/>
        <v>0</v>
      </c>
      <c r="J15" s="259">
        <f t="shared" si="4"/>
        <v>0</v>
      </c>
      <c r="K15" s="259">
        <f t="shared" si="5"/>
        <v>0</v>
      </c>
      <c r="L15" s="259">
        <f t="shared" si="6"/>
        <v>0</v>
      </c>
      <c r="M15" s="259">
        <f t="shared" si="7"/>
        <v>0</v>
      </c>
      <c r="O15" s="251">
        <f t="shared" si="8"/>
        <v>107.09331625999999</v>
      </c>
    </row>
    <row r="16" spans="1:16" x14ac:dyDescent="0.25">
      <c r="A16" s="157" t="s">
        <v>1294</v>
      </c>
      <c r="B16" s="157">
        <f t="shared" si="0"/>
        <v>1.72E-2</v>
      </c>
      <c r="C16" s="157">
        <f t="shared" si="0"/>
        <v>1.958E-2</v>
      </c>
      <c r="D16" s="157">
        <f t="shared" si="0"/>
        <v>6.4769999999999994E-2</v>
      </c>
      <c r="E16" s="157">
        <f t="shared" si="0"/>
        <v>0.23189000000000001</v>
      </c>
      <c r="F16" s="249">
        <f>F17</f>
        <v>0.33344431232659533</v>
      </c>
      <c r="G16" s="157">
        <f t="shared" si="1"/>
        <v>0</v>
      </c>
      <c r="H16" s="249">
        <f t="shared" si="2"/>
        <v>0</v>
      </c>
      <c r="I16" s="259">
        <f t="shared" si="3"/>
        <v>0</v>
      </c>
      <c r="J16" s="259">
        <f t="shared" si="4"/>
        <v>0</v>
      </c>
      <c r="K16" s="259">
        <f t="shared" si="5"/>
        <v>0</v>
      </c>
      <c r="L16" s="259">
        <f t="shared" si="6"/>
        <v>0</v>
      </c>
      <c r="M16" s="259">
        <f t="shared" si="7"/>
        <v>0</v>
      </c>
      <c r="O16" s="251">
        <f t="shared" si="8"/>
        <v>107.09331625999999</v>
      </c>
    </row>
    <row r="17" spans="1:19" x14ac:dyDescent="0.25">
      <c r="A17" s="157" t="s">
        <v>1291</v>
      </c>
      <c r="B17" s="157">
        <f t="shared" si="0"/>
        <v>1.72E-2</v>
      </c>
      <c r="C17" s="157">
        <f t="shared" si="0"/>
        <v>1.958E-2</v>
      </c>
      <c r="D17" s="157">
        <f t="shared" si="0"/>
        <v>6.4769999999999994E-2</v>
      </c>
      <c r="E17" s="157">
        <f t="shared" si="0"/>
        <v>0.23189000000000001</v>
      </c>
      <c r="F17" s="278">
        <f>F20</f>
        <v>0.33344431232659533</v>
      </c>
      <c r="G17" s="157">
        <f t="shared" si="1"/>
        <v>0</v>
      </c>
      <c r="H17" s="249">
        <f t="shared" si="2"/>
        <v>0</v>
      </c>
      <c r="I17" s="259">
        <f t="shared" si="3"/>
        <v>0</v>
      </c>
      <c r="J17" s="259">
        <f t="shared" si="4"/>
        <v>0</v>
      </c>
      <c r="K17" s="259">
        <f t="shared" si="5"/>
        <v>0</v>
      </c>
      <c r="L17" s="259">
        <f t="shared" si="6"/>
        <v>0</v>
      </c>
      <c r="M17" s="259">
        <f t="shared" si="7"/>
        <v>0</v>
      </c>
      <c r="O17" s="251">
        <f t="shared" si="8"/>
        <v>107.09331625999999</v>
      </c>
    </row>
    <row r="18" spans="1:19" x14ac:dyDescent="0.25">
      <c r="A18" s="157" t="s">
        <v>1256</v>
      </c>
      <c r="B18" s="157">
        <f t="shared" si="0"/>
        <v>1.72E-2</v>
      </c>
      <c r="C18" s="157">
        <f t="shared" si="0"/>
        <v>1.958E-2</v>
      </c>
      <c r="D18" s="157">
        <f t="shared" si="0"/>
        <v>6.4769999999999994E-2</v>
      </c>
      <c r="E18" s="157">
        <f t="shared" si="0"/>
        <v>0.23189000000000001</v>
      </c>
      <c r="F18" s="249">
        <f>AA79/1000</f>
        <v>0.33344431232659533</v>
      </c>
      <c r="G18" s="157">
        <f t="shared" si="1"/>
        <v>33.200000000000003</v>
      </c>
      <c r="H18" s="249">
        <f t="shared" si="2"/>
        <v>11.070351169242965</v>
      </c>
      <c r="I18" s="259">
        <f t="shared" si="3"/>
        <v>62.825249760000013</v>
      </c>
      <c r="J18" s="259">
        <f t="shared" si="4"/>
        <v>73.293814000000012</v>
      </c>
      <c r="K18" s="259">
        <f t="shared" si="5"/>
        <v>372.43014261600001</v>
      </c>
      <c r="L18" s="259">
        <f t="shared" si="6"/>
        <v>3046.9488934560004</v>
      </c>
      <c r="M18" s="259">
        <f t="shared" si="7"/>
        <v>3555.4980998320007</v>
      </c>
      <c r="O18" s="251">
        <f t="shared" si="8"/>
        <v>107.09331625999999</v>
      </c>
      <c r="P18" s="157">
        <v>336</v>
      </c>
    </row>
    <row r="19" spans="1:19" x14ac:dyDescent="0.25">
      <c r="A19" s="157" t="s">
        <v>1260</v>
      </c>
      <c r="B19" s="157">
        <f t="shared" si="0"/>
        <v>1.72E-2</v>
      </c>
      <c r="C19" s="157">
        <f t="shared" si="0"/>
        <v>1.958E-2</v>
      </c>
      <c r="D19" s="157">
        <f t="shared" si="0"/>
        <v>6.4769999999999994E-2</v>
      </c>
      <c r="E19" s="157">
        <f t="shared" si="0"/>
        <v>0.23189000000000001</v>
      </c>
      <c r="F19" s="249">
        <f>F18</f>
        <v>0.33344431232659533</v>
      </c>
      <c r="G19" s="157">
        <f t="shared" si="1"/>
        <v>3.72</v>
      </c>
      <c r="H19" s="249">
        <f t="shared" si="2"/>
        <v>1.2404128418549347</v>
      </c>
      <c r="I19" s="259">
        <f t="shared" si="3"/>
        <v>7.0394556960000001</v>
      </c>
      <c r="J19" s="259">
        <f t="shared" si="4"/>
        <v>8.2124394000000009</v>
      </c>
      <c r="K19" s="259">
        <f t="shared" si="5"/>
        <v>41.730124413599995</v>
      </c>
      <c r="L19" s="259">
        <f t="shared" si="6"/>
        <v>341.40511697760007</v>
      </c>
      <c r="M19" s="259">
        <f t="shared" si="7"/>
        <v>398.38713648720005</v>
      </c>
      <c r="O19" s="251">
        <f t="shared" si="8"/>
        <v>107.09331625999999</v>
      </c>
      <c r="P19" s="157">
        <v>336</v>
      </c>
    </row>
    <row r="20" spans="1:19" x14ac:dyDescent="0.25">
      <c r="A20" s="157" t="s">
        <v>1237</v>
      </c>
      <c r="B20" s="157">
        <f t="shared" si="0"/>
        <v>1.72E-2</v>
      </c>
      <c r="C20" s="157">
        <f t="shared" si="0"/>
        <v>1.958E-2</v>
      </c>
      <c r="D20" s="157">
        <f t="shared" si="0"/>
        <v>6.4769999999999994E-2</v>
      </c>
      <c r="E20" s="157">
        <f t="shared" si="0"/>
        <v>0.23189000000000001</v>
      </c>
      <c r="F20" s="249">
        <f>F19</f>
        <v>0.33344431232659533</v>
      </c>
      <c r="G20" s="157">
        <f t="shared" si="1"/>
        <v>0.42</v>
      </c>
      <c r="H20" s="249">
        <f t="shared" si="2"/>
        <v>0.14004661117717004</v>
      </c>
      <c r="I20" s="259">
        <f t="shared" si="3"/>
        <v>0.79477725599999993</v>
      </c>
      <c r="J20" s="259">
        <f t="shared" si="4"/>
        <v>0.92721089999999995</v>
      </c>
      <c r="K20" s="259">
        <f t="shared" si="5"/>
        <v>4.7114656595999991</v>
      </c>
      <c r="L20" s="259">
        <f t="shared" si="6"/>
        <v>38.545739013599999</v>
      </c>
      <c r="M20" s="259">
        <f t="shared" si="7"/>
        <v>44.979192829199995</v>
      </c>
      <c r="O20" s="251">
        <f t="shared" si="8"/>
        <v>107.09331625999999</v>
      </c>
      <c r="P20" s="157">
        <v>150</v>
      </c>
    </row>
    <row r="21" spans="1:19" x14ac:dyDescent="0.25">
      <c r="A21" s="157" t="s">
        <v>1231</v>
      </c>
      <c r="B21" s="157">
        <f t="shared" si="0"/>
        <v>3.3279999999999997E-2</v>
      </c>
      <c r="C21" s="157">
        <f t="shared" si="0"/>
        <v>3.7879999999999997E-2</v>
      </c>
      <c r="D21" s="157">
        <f t="shared" si="0"/>
        <v>0.12533</v>
      </c>
      <c r="E21" s="157">
        <f t="shared" si="0"/>
        <v>0.44868000000000002</v>
      </c>
      <c r="F21" s="249">
        <f>AA73/1000</f>
        <v>0.64516129032258063</v>
      </c>
      <c r="G21" s="157">
        <f t="shared" si="1"/>
        <v>1.86</v>
      </c>
      <c r="H21" s="249">
        <f t="shared" si="2"/>
        <v>1.2</v>
      </c>
      <c r="I21" s="259">
        <f t="shared" si="3"/>
        <v>6.8102641151999999</v>
      </c>
      <c r="J21" s="259">
        <f t="shared" si="4"/>
        <v>7.9440042000000002</v>
      </c>
      <c r="K21" s="259">
        <f t="shared" si="5"/>
        <v>40.373911477199997</v>
      </c>
      <c r="L21" s="259">
        <f t="shared" si="6"/>
        <v>330.2894645856</v>
      </c>
      <c r="M21" s="259">
        <f t="shared" si="7"/>
        <v>385.41764437799998</v>
      </c>
      <c r="O21" s="251">
        <f t="shared" si="8"/>
        <v>207.21378730000001</v>
      </c>
      <c r="P21" s="157">
        <v>885</v>
      </c>
    </row>
    <row r="22" spans="1:19" x14ac:dyDescent="0.25">
      <c r="A22" s="157" t="s">
        <v>1228</v>
      </c>
      <c r="B22" s="157">
        <f t="shared" si="0"/>
        <v>1.72E-2</v>
      </c>
      <c r="C22" s="157">
        <f t="shared" si="0"/>
        <v>1.958E-2</v>
      </c>
      <c r="D22" s="157">
        <f t="shared" si="0"/>
        <v>6.4769999999999994E-2</v>
      </c>
      <c r="E22" s="157">
        <f t="shared" si="0"/>
        <v>0.23189000000000001</v>
      </c>
      <c r="F22" s="249">
        <f>F20</f>
        <v>0.33344431232659533</v>
      </c>
      <c r="G22" s="157">
        <f t="shared" si="1"/>
        <v>2.46</v>
      </c>
      <c r="H22" s="249">
        <f t="shared" si="2"/>
        <v>0.82027300832342454</v>
      </c>
      <c r="I22" s="259">
        <f t="shared" si="3"/>
        <v>4.6551239280000001</v>
      </c>
      <c r="J22" s="259">
        <f t="shared" si="4"/>
        <v>5.4308067000000007</v>
      </c>
      <c r="K22" s="259">
        <f t="shared" si="5"/>
        <v>27.595727434799993</v>
      </c>
      <c r="L22" s="259">
        <f t="shared" si="6"/>
        <v>225.76789993680001</v>
      </c>
      <c r="M22" s="259">
        <f t="shared" si="7"/>
        <v>263.44955799960002</v>
      </c>
      <c r="O22" s="251">
        <f t="shared" si="8"/>
        <v>107.09331625999999</v>
      </c>
      <c r="P22" s="157">
        <v>58</v>
      </c>
    </row>
    <row r="23" spans="1:19" x14ac:dyDescent="0.25">
      <c r="A23" s="254" t="s">
        <v>1501</v>
      </c>
      <c r="F23" s="275"/>
      <c r="G23" s="275">
        <f>SUM(G4:G22)-G7</f>
        <v>43.910000000000004</v>
      </c>
      <c r="H23" s="275">
        <f>SUM(H4:H22)</f>
        <v>15.221333333333332</v>
      </c>
      <c r="M23" s="274">
        <f>SUM(M4:M22)</f>
        <v>4888.6915931110007</v>
      </c>
      <c r="O23" s="251">
        <f t="shared" si="8"/>
        <v>0</v>
      </c>
    </row>
    <row r="24" spans="1:19" x14ac:dyDescent="0.25">
      <c r="A24" s="157" t="s">
        <v>1509</v>
      </c>
      <c r="B24" s="157">
        <f t="shared" ref="B24:E30" si="9">ROUND(B$3*$F24,5)</f>
        <v>1.474E-2</v>
      </c>
      <c r="C24" s="277">
        <f t="shared" si="9"/>
        <v>1.678E-2</v>
      </c>
      <c r="D24" s="157">
        <f t="shared" si="9"/>
        <v>5.5509999999999997E-2</v>
      </c>
      <c r="E24" s="157">
        <f t="shared" si="9"/>
        <v>0.19872999999999999</v>
      </c>
      <c r="F24" s="276">
        <f>H110</f>
        <v>0.28576111111111124</v>
      </c>
      <c r="G24" s="157">
        <f>H108</f>
        <v>34.200000000000003</v>
      </c>
      <c r="H24" s="275">
        <f>G24*F24</f>
        <v>9.7730300000000057</v>
      </c>
      <c r="I24" s="259">
        <f>B24*$G24*I$1</f>
        <v>55.461458052000005</v>
      </c>
      <c r="J24" s="259">
        <f>C24*$G24*J$1</f>
        <v>64.704519000000005</v>
      </c>
      <c r="K24" s="259">
        <f>D24*$G24*K$1</f>
        <v>328.798763748</v>
      </c>
      <c r="L24" s="259">
        <f>E24*$G24*L$1</f>
        <v>2689.8905189520001</v>
      </c>
      <c r="M24" s="274">
        <f>SUM(I24:L24)</f>
        <v>3138.8552597520002</v>
      </c>
      <c r="O24" s="251">
        <f t="shared" si="8"/>
        <v>91.779393559999988</v>
      </c>
      <c r="P24" s="157">
        <v>26</v>
      </c>
    </row>
    <row r="25" spans="1:19" x14ac:dyDescent="0.25">
      <c r="A25" s="157" t="s">
        <v>1508</v>
      </c>
      <c r="B25" s="157">
        <f t="shared" si="9"/>
        <v>0</v>
      </c>
      <c r="C25" s="157">
        <f t="shared" si="9"/>
        <v>0</v>
      </c>
      <c r="D25" s="157">
        <f t="shared" si="9"/>
        <v>0</v>
      </c>
      <c r="E25" s="157">
        <f t="shared" si="9"/>
        <v>0</v>
      </c>
      <c r="H25" s="273">
        <f>SUM(H26:H30)</f>
        <v>47.281333333333336</v>
      </c>
      <c r="M25" s="274">
        <f>SUM(M26:M30)</f>
        <v>15185.704393487013</v>
      </c>
      <c r="O25" s="251">
        <f t="shared" si="8"/>
        <v>0</v>
      </c>
    </row>
    <row r="26" spans="1:19" x14ac:dyDescent="0.25">
      <c r="A26" s="157" t="s">
        <v>1224</v>
      </c>
      <c r="B26" s="157">
        <f t="shared" si="9"/>
        <v>0.16136</v>
      </c>
      <c r="C26" s="157">
        <f t="shared" si="9"/>
        <v>0.18362999999999999</v>
      </c>
      <c r="D26" s="157">
        <f t="shared" si="9"/>
        <v>0.60758999999999996</v>
      </c>
      <c r="E26" s="157">
        <f t="shared" si="9"/>
        <v>2.1752199999999999</v>
      </c>
      <c r="F26" s="249">
        <f>L128</f>
        <v>3.1278004353864803</v>
      </c>
      <c r="G26" s="157">
        <f>H128</f>
        <v>10.6821</v>
      </c>
      <c r="H26" s="251">
        <f>F26*G26</f>
        <v>33.411477030841922</v>
      </c>
      <c r="I26" s="259">
        <f t="shared" ref="I26:L30" si="10">B26*$G26*I$1</f>
        <v>189.63575176946401</v>
      </c>
      <c r="J26" s="259">
        <f t="shared" si="10"/>
        <v>221.16521609325</v>
      </c>
      <c r="K26" s="259">
        <f t="shared" si="10"/>
        <v>1124.0874504519659</v>
      </c>
      <c r="L26" s="259">
        <f t="shared" si="10"/>
        <v>9196.1255653478638</v>
      </c>
      <c r="M26" s="259">
        <f>SUM(I26:L26)</f>
        <v>10731.013983662544</v>
      </c>
      <c r="O26" s="251">
        <f t="shared" si="8"/>
        <v>1004.57906064</v>
      </c>
      <c r="P26" s="157">
        <v>1466</v>
      </c>
    </row>
    <row r="27" spans="1:19" x14ac:dyDescent="0.25">
      <c r="A27" s="157" t="s">
        <v>1226</v>
      </c>
      <c r="B27" s="157">
        <f t="shared" si="9"/>
        <v>3.1989999999999998E-2</v>
      </c>
      <c r="C27" s="157">
        <f t="shared" si="9"/>
        <v>3.6400000000000002E-2</v>
      </c>
      <c r="D27" s="157">
        <f t="shared" si="9"/>
        <v>0.12044000000000001</v>
      </c>
      <c r="E27" s="157">
        <f t="shared" si="9"/>
        <v>0.43119000000000002</v>
      </c>
      <c r="F27" s="249">
        <f>L129</f>
        <v>0.62001747605244761</v>
      </c>
      <c r="G27" s="157">
        <f>H129</f>
        <v>0.91200000000000003</v>
      </c>
      <c r="H27" s="251">
        <f>F27*G27</f>
        <v>0.56545593815983219</v>
      </c>
      <c r="I27" s="259">
        <f t="shared" si="10"/>
        <v>3.20979112272</v>
      </c>
      <c r="J27" s="259">
        <f t="shared" si="10"/>
        <v>3.7429392000000008</v>
      </c>
      <c r="K27" s="259">
        <f t="shared" si="10"/>
        <v>19.02385064832</v>
      </c>
      <c r="L27" s="259">
        <f t="shared" si="10"/>
        <v>155.63547095616002</v>
      </c>
      <c r="M27" s="259">
        <f>SUM(I27:L27)</f>
        <v>181.61205192720001</v>
      </c>
      <c r="O27" s="251">
        <f t="shared" si="8"/>
        <v>199.13602184999999</v>
      </c>
      <c r="P27" s="157">
        <v>1466</v>
      </c>
    </row>
    <row r="28" spans="1:19" x14ac:dyDescent="0.25">
      <c r="A28" s="157" t="s">
        <v>1220</v>
      </c>
      <c r="B28" s="157">
        <f t="shared" si="9"/>
        <v>2.656E-2</v>
      </c>
      <c r="C28" s="157">
        <f t="shared" si="9"/>
        <v>3.023E-2</v>
      </c>
      <c r="D28" s="157">
        <f t="shared" si="9"/>
        <v>0.10002999999999999</v>
      </c>
      <c r="E28" s="157">
        <f t="shared" si="9"/>
        <v>0.35811999999999999</v>
      </c>
      <c r="F28" s="249">
        <f>L130</f>
        <v>0.51494477149444284</v>
      </c>
      <c r="G28" s="157">
        <f>H130</f>
        <v>18.776499999999999</v>
      </c>
      <c r="H28" s="251">
        <f>F28*G28</f>
        <v>9.6688605019654048</v>
      </c>
      <c r="I28" s="259">
        <f t="shared" si="10"/>
        <v>54.866897772959994</v>
      </c>
      <c r="J28" s="259">
        <f t="shared" si="10"/>
        <v>63.998432836249997</v>
      </c>
      <c r="K28" s="259">
        <f t="shared" si="10"/>
        <v>325.29527341422994</v>
      </c>
      <c r="L28" s="259">
        <f t="shared" si="10"/>
        <v>2661.2659845189601</v>
      </c>
      <c r="M28" s="259">
        <f>SUM(I28:L28)</f>
        <v>3105.4265885424002</v>
      </c>
      <c r="O28" s="251">
        <f t="shared" si="8"/>
        <v>165.3890016</v>
      </c>
      <c r="P28" s="157">
        <v>348</v>
      </c>
    </row>
    <row r="29" spans="1:19" x14ac:dyDescent="0.25">
      <c r="A29" s="157" t="s">
        <v>1225</v>
      </c>
      <c r="B29" s="157">
        <f t="shared" si="9"/>
        <v>2.8969999999999999E-2</v>
      </c>
      <c r="C29" s="157">
        <f t="shared" si="9"/>
        <v>3.2969999999999999E-2</v>
      </c>
      <c r="D29" s="157">
        <f t="shared" si="9"/>
        <v>0.1091</v>
      </c>
      <c r="E29" s="157">
        <f t="shared" si="9"/>
        <v>0.39056999999999997</v>
      </c>
      <c r="F29" s="249">
        <f>L131</f>
        <v>0.5616119685990032</v>
      </c>
      <c r="G29" s="157">
        <f>H131</f>
        <v>6.0609000000000002</v>
      </c>
      <c r="H29" s="251">
        <f>F29*G29</f>
        <v>3.4038739804816984</v>
      </c>
      <c r="I29" s="259">
        <f t="shared" si="10"/>
        <v>19.317606131187002</v>
      </c>
      <c r="J29" s="259">
        <f t="shared" si="10"/>
        <v>22.530592680749997</v>
      </c>
      <c r="K29" s="259">
        <f t="shared" si="10"/>
        <v>114.52352624286</v>
      </c>
      <c r="L29" s="259">
        <f t="shared" si="10"/>
        <v>936.87373944543583</v>
      </c>
      <c r="M29" s="259">
        <f>SUM(I29:L29)</f>
        <v>1093.2454645002329</v>
      </c>
      <c r="O29" s="251">
        <f t="shared" si="8"/>
        <v>180.37675336999999</v>
      </c>
      <c r="P29" s="157">
        <v>733</v>
      </c>
    </row>
    <row r="30" spans="1:19" x14ac:dyDescent="0.25">
      <c r="A30" s="157" t="s">
        <v>1223</v>
      </c>
      <c r="B30" s="157">
        <f t="shared" si="9"/>
        <v>2.6519999999999998E-2</v>
      </c>
      <c r="C30" s="157">
        <f t="shared" si="9"/>
        <v>3.0179999999999998E-2</v>
      </c>
      <c r="D30" s="157">
        <f t="shared" si="9"/>
        <v>9.9849999999999994E-2</v>
      </c>
      <c r="E30" s="157">
        <f t="shared" si="9"/>
        <v>0.35747000000000001</v>
      </c>
      <c r="F30" s="249">
        <f>L132</f>
        <v>0.51401349430770338</v>
      </c>
      <c r="G30" s="157">
        <f>H132</f>
        <v>0.45069999999999999</v>
      </c>
      <c r="H30" s="251">
        <f>F30*G30</f>
        <v>0.23166588188448189</v>
      </c>
      <c r="I30" s="259">
        <f t="shared" si="10"/>
        <v>1.3150091387159999</v>
      </c>
      <c r="J30" s="259">
        <f t="shared" si="10"/>
        <v>1.5336397064999998</v>
      </c>
      <c r="K30" s="259">
        <f t="shared" si="10"/>
        <v>7.794144799629998</v>
      </c>
      <c r="L30" s="259">
        <f t="shared" si="10"/>
        <v>63.763511209788</v>
      </c>
      <c r="M30" s="259">
        <f>SUM(I30:L30)</f>
        <v>74.406304854634001</v>
      </c>
      <c r="O30" s="251">
        <f t="shared" si="8"/>
        <v>165.09053661999999</v>
      </c>
      <c r="P30" s="157">
        <v>733</v>
      </c>
    </row>
    <row r="31" spans="1:19" x14ac:dyDescent="0.25">
      <c r="A31" s="254" t="s">
        <v>115</v>
      </c>
      <c r="B31" s="157">
        <f>SUMPRODUCT(B4:B30,$G4:$G30)</f>
        <v>3.7283480130000002</v>
      </c>
      <c r="C31" s="157">
        <f>SUMPRODUCT(C4:C30,$G4:$G30)</f>
        <v>4.2434662170000008</v>
      </c>
      <c r="D31" s="157">
        <f>SUMPRODUCT(D4:D30,$G4:$G30)</f>
        <v>14.039772598999997</v>
      </c>
      <c r="E31" s="157">
        <f>SUMPRODUCT(E4:E30,$G4:$G30)</f>
        <v>50.263805763999997</v>
      </c>
      <c r="H31" s="272">
        <f>SUM(H23:H25)</f>
        <v>72.275696666666676</v>
      </c>
      <c r="I31" s="254"/>
      <c r="J31" s="254"/>
      <c r="K31" s="254"/>
      <c r="L31" s="254"/>
      <c r="M31" s="274">
        <f>SUM(M23:M25)</f>
        <v>23213.251246350013</v>
      </c>
    </row>
    <row r="32" spans="1:19" x14ac:dyDescent="0.25">
      <c r="A32" s="157" t="s">
        <v>1507</v>
      </c>
      <c r="H32" s="259">
        <f>H88</f>
        <v>72.316029999999998</v>
      </c>
      <c r="M32" s="262">
        <f>'From SAM'!V32*1000</f>
        <v>23198</v>
      </c>
      <c r="R32" s="251"/>
      <c r="S32" s="251"/>
    </row>
    <row r="35" spans="1:19" x14ac:dyDescent="0.25">
      <c r="I35" s="157" t="s">
        <v>1506</v>
      </c>
    </row>
    <row r="36" spans="1:19" x14ac:dyDescent="0.25">
      <c r="P36" s="157" t="s">
        <v>1505</v>
      </c>
      <c r="R36" s="262"/>
      <c r="S36" s="262"/>
    </row>
    <row r="37" spans="1:19" x14ac:dyDescent="0.25">
      <c r="Q37" s="157" t="s">
        <v>1504</v>
      </c>
      <c r="R37" s="157" t="s">
        <v>1503</v>
      </c>
      <c r="S37" s="157" t="s">
        <v>1502</v>
      </c>
    </row>
    <row r="38" spans="1:19" x14ac:dyDescent="0.25">
      <c r="P38" s="254" t="s">
        <v>1501</v>
      </c>
      <c r="Q38" s="272">
        <f>H23</f>
        <v>15.221333333333332</v>
      </c>
      <c r="R38" s="272">
        <f>G23</f>
        <v>43.910000000000004</v>
      </c>
      <c r="S38" s="273">
        <f t="shared" ref="S38:S46" si="11">Q38/R38</f>
        <v>0.34664844758217561</v>
      </c>
    </row>
    <row r="39" spans="1:19" x14ac:dyDescent="0.25">
      <c r="A39" s="157" t="s">
        <v>1500</v>
      </c>
      <c r="B39" s="157" t="s">
        <v>1499</v>
      </c>
      <c r="P39" s="157" t="s">
        <v>920</v>
      </c>
      <c r="Q39" s="259">
        <f>Z73/1000</f>
        <v>1.2</v>
      </c>
      <c r="R39" s="259">
        <f>G21</f>
        <v>1.86</v>
      </c>
      <c r="S39" s="251">
        <f t="shared" si="11"/>
        <v>0.64516129032258063</v>
      </c>
    </row>
    <row r="40" spans="1:19" x14ac:dyDescent="0.25">
      <c r="A40" s="157" t="s">
        <v>1256</v>
      </c>
      <c r="B40" s="157">
        <v>33.200000000000003</v>
      </c>
      <c r="P40" s="157" t="s">
        <v>1498</v>
      </c>
      <c r="Q40" s="259">
        <f>Q38-Q39</f>
        <v>14.021333333333333</v>
      </c>
      <c r="R40" s="259">
        <f>R38-R39</f>
        <v>42.050000000000004</v>
      </c>
      <c r="S40" s="251">
        <f t="shared" si="11"/>
        <v>0.33344431232659527</v>
      </c>
    </row>
    <row r="41" spans="1:19" x14ac:dyDescent="0.25">
      <c r="A41" s="157" t="s">
        <v>1260</v>
      </c>
      <c r="B41" s="157">
        <v>3.72</v>
      </c>
      <c r="P41" s="254" t="s">
        <v>1497</v>
      </c>
      <c r="Q41" s="272">
        <f>H24</f>
        <v>9.7730300000000057</v>
      </c>
      <c r="R41" s="272">
        <f>G24</f>
        <v>34.200000000000003</v>
      </c>
      <c r="S41" s="273">
        <f t="shared" si="11"/>
        <v>0.28576111111111124</v>
      </c>
    </row>
    <row r="42" spans="1:19" x14ac:dyDescent="0.25">
      <c r="A42" s="157" t="s">
        <v>1237</v>
      </c>
      <c r="B42" s="157">
        <v>0.42</v>
      </c>
      <c r="P42" s="254" t="s">
        <v>1496</v>
      </c>
      <c r="Q42" s="272">
        <f>H25</f>
        <v>47.281333333333336</v>
      </c>
      <c r="R42" s="272">
        <f>SUM(G26:G30)</f>
        <v>36.882199999999997</v>
      </c>
      <c r="S42" s="273">
        <f t="shared" si="11"/>
        <v>1.281955342504876</v>
      </c>
    </row>
    <row r="43" spans="1:19" x14ac:dyDescent="0.25">
      <c r="A43" s="157" t="s">
        <v>1381</v>
      </c>
      <c r="B43" s="157">
        <v>0.67</v>
      </c>
      <c r="P43" s="157" t="s">
        <v>1495</v>
      </c>
      <c r="Q43" s="259">
        <f>H26</f>
        <v>33.411477030841922</v>
      </c>
      <c r="R43" s="259">
        <f>G26</f>
        <v>10.6821</v>
      </c>
      <c r="S43" s="251">
        <f t="shared" si="11"/>
        <v>3.1278004353864803</v>
      </c>
    </row>
    <row r="44" spans="1:19" x14ac:dyDescent="0.25">
      <c r="A44" s="157" t="s">
        <v>1234</v>
      </c>
      <c r="B44" s="157">
        <v>1.5</v>
      </c>
      <c r="P44" s="157" t="s">
        <v>1494</v>
      </c>
      <c r="Q44" s="259">
        <f>H29</f>
        <v>3.4038739804816984</v>
      </c>
      <c r="R44" s="259">
        <f>G29</f>
        <v>6.0609000000000002</v>
      </c>
      <c r="S44" s="251">
        <f t="shared" si="11"/>
        <v>0.5616119685990032</v>
      </c>
    </row>
    <row r="45" spans="1:19" x14ac:dyDescent="0.25">
      <c r="A45" s="157" t="s">
        <v>1231</v>
      </c>
      <c r="B45" s="157">
        <v>1.86</v>
      </c>
      <c r="P45" s="157" t="s">
        <v>1493</v>
      </c>
      <c r="Q45" s="259">
        <f>H28</f>
        <v>9.6688605019654048</v>
      </c>
      <c r="R45" s="259">
        <f>G28</f>
        <v>18.776499999999999</v>
      </c>
      <c r="S45" s="251">
        <f t="shared" si="11"/>
        <v>0.51494477149444284</v>
      </c>
    </row>
    <row r="46" spans="1:19" x14ac:dyDescent="0.25">
      <c r="A46" s="157" t="s">
        <v>1228</v>
      </c>
      <c r="B46" s="157">
        <v>2.46</v>
      </c>
      <c r="P46" s="157" t="s">
        <v>1492</v>
      </c>
      <c r="Q46" s="259">
        <f>Q42-SUM(Q43:Q45)</f>
        <v>0.79712182004431043</v>
      </c>
      <c r="R46" s="259">
        <f>R42-SUM(R43:R45)</f>
        <v>1.3626999999999967</v>
      </c>
      <c r="S46" s="251">
        <f t="shared" si="11"/>
        <v>0.58495767230080897</v>
      </c>
    </row>
    <row r="47" spans="1:19" x14ac:dyDescent="0.25">
      <c r="A47" s="157" t="s">
        <v>1388</v>
      </c>
      <c r="B47" s="157">
        <v>1.58</v>
      </c>
      <c r="L47" s="259"/>
      <c r="M47" s="266"/>
      <c r="O47" s="262"/>
      <c r="P47" s="254" t="s">
        <v>1491</v>
      </c>
      <c r="Q47" s="272">
        <f>Q38+Q41+Q42</f>
        <v>72.275696666666676</v>
      </c>
      <c r="R47" s="272"/>
      <c r="S47" s="251"/>
    </row>
    <row r="48" spans="1:19" x14ac:dyDescent="0.25">
      <c r="L48" s="259"/>
      <c r="M48" s="266"/>
      <c r="O48" s="262"/>
    </row>
    <row r="49" spans="6:31" ht="45" x14ac:dyDescent="0.25">
      <c r="F49" s="253" t="s">
        <v>1490</v>
      </c>
      <c r="G49" s="253" t="s">
        <v>1489</v>
      </c>
      <c r="H49" s="253" t="s">
        <v>1488</v>
      </c>
      <c r="I49" s="253" t="s">
        <v>121</v>
      </c>
      <c r="J49" s="253" t="s">
        <v>1487</v>
      </c>
      <c r="K49" s="253" t="s">
        <v>153</v>
      </c>
      <c r="L49" s="253" t="s">
        <v>1486</v>
      </c>
      <c r="M49" s="253" t="s">
        <v>150</v>
      </c>
      <c r="N49" s="253" t="s">
        <v>1485</v>
      </c>
      <c r="O49" s="253" t="s">
        <v>1484</v>
      </c>
      <c r="P49" s="253" t="s">
        <v>1483</v>
      </c>
      <c r="Q49" s="253" t="s">
        <v>1482</v>
      </c>
      <c r="W49" s="253" t="s">
        <v>1481</v>
      </c>
      <c r="X49" s="253" t="s">
        <v>1480</v>
      </c>
      <c r="Y49" s="253" t="s">
        <v>121</v>
      </c>
      <c r="Z49" s="253" t="str">
        <f>L49</f>
        <v>Annual O&amp;M Jobs/GW</v>
      </c>
      <c r="AA49" s="253" t="s">
        <v>150</v>
      </c>
      <c r="AB49" s="253" t="s">
        <v>136</v>
      </c>
      <c r="AC49" s="253" t="s">
        <v>1479</v>
      </c>
      <c r="AD49" s="253" t="s">
        <v>1478</v>
      </c>
    </row>
    <row r="50" spans="6:31" x14ac:dyDescent="0.25">
      <c r="F50" s="157">
        <v>1</v>
      </c>
      <c r="G50" s="157" t="s">
        <v>1471</v>
      </c>
      <c r="H50" s="157">
        <v>6117</v>
      </c>
      <c r="I50" s="157">
        <v>632</v>
      </c>
      <c r="J50" s="271">
        <f t="shared" ref="J50:J58" si="12">H50/I50*1000</f>
        <v>9678.7974683544307</v>
      </c>
      <c r="K50" s="157">
        <v>25</v>
      </c>
      <c r="L50" s="259">
        <f t="shared" ref="L50:L58" si="13">J50/K50</f>
        <v>387.15189873417722</v>
      </c>
      <c r="M50" s="266">
        <v>0.28000000000000003</v>
      </c>
      <c r="N50" s="157">
        <f t="shared" ref="N50:N58" si="14">I50*M50*8.76/1000</f>
        <v>1.5501696</v>
      </c>
      <c r="O50" s="262">
        <f t="shared" ref="O50:O58" si="15">H50/K50/N50</f>
        <v>157.84079367831751</v>
      </c>
      <c r="P50" s="259">
        <f t="shared" ref="P50:P58" si="16">N50*K50</f>
        <v>38.754240000000003</v>
      </c>
      <c r="Q50" s="262">
        <f t="shared" ref="Q50:Q58" si="17">H50/P50</f>
        <v>157.84079367831751</v>
      </c>
      <c r="S50" s="157">
        <v>1</v>
      </c>
      <c r="T50" s="157" t="s">
        <v>416</v>
      </c>
      <c r="V50" s="157">
        <v>1</v>
      </c>
      <c r="W50" s="157" t="str">
        <f t="shared" ref="W50:W62" si="18">INDEX($T$50:$T$79,V50*2-1)</f>
        <v>Arnot</v>
      </c>
      <c r="X50" s="157">
        <f t="shared" ref="X50:X62" si="19">SUMIF($S$50:$S$79,V50,$T$50:$T$79)</f>
        <v>677</v>
      </c>
      <c r="Y50" s="157">
        <f>INDEX($T$81:$T$111,MATCH(W50,$S$81:$S$111,0))</f>
        <v>2220</v>
      </c>
      <c r="Z50" s="262">
        <f t="shared" ref="Z50:Z62" si="20">X50/Y50*1000</f>
        <v>304.95495495495493</v>
      </c>
      <c r="AA50" s="266">
        <v>0.75</v>
      </c>
      <c r="AB50" s="259">
        <f t="shared" ref="AB50:AB62" si="21">Y50*8.76*AA50/1000</f>
        <v>14.585400000000002</v>
      </c>
      <c r="AC50" s="259">
        <f t="shared" ref="AC50:AC62" si="22">X50/AB50</f>
        <v>46.416279292991618</v>
      </c>
    </row>
    <row r="51" spans="6:31" x14ac:dyDescent="0.25">
      <c r="F51" s="157">
        <v>2</v>
      </c>
      <c r="G51" s="157" t="s">
        <v>1471</v>
      </c>
      <c r="H51" s="157">
        <v>3809</v>
      </c>
      <c r="I51" s="157">
        <v>417</v>
      </c>
      <c r="J51" s="271">
        <f t="shared" si="12"/>
        <v>9134.2925659472421</v>
      </c>
      <c r="K51" s="157">
        <f>K50</f>
        <v>25</v>
      </c>
      <c r="L51" s="259">
        <f t="shared" si="13"/>
        <v>365.37170263788971</v>
      </c>
      <c r="M51" s="266">
        <v>0.28000000000000003</v>
      </c>
      <c r="N51" s="157">
        <f t="shared" si="14"/>
        <v>1.0228176</v>
      </c>
      <c r="O51" s="262">
        <f t="shared" si="15"/>
        <v>148.96106598087479</v>
      </c>
      <c r="P51" s="259">
        <f t="shared" si="16"/>
        <v>25.570440000000001</v>
      </c>
      <c r="Q51" s="262">
        <f t="shared" si="17"/>
        <v>148.96106598087479</v>
      </c>
      <c r="S51" s="157">
        <v>1</v>
      </c>
      <c r="T51" s="157">
        <v>677</v>
      </c>
      <c r="V51" s="157">
        <v>2</v>
      </c>
      <c r="W51" s="157" t="str">
        <f t="shared" si="18"/>
        <v>Camden</v>
      </c>
      <c r="X51" s="157">
        <f t="shared" si="19"/>
        <v>324</v>
      </c>
      <c r="Y51" s="157">
        <f>INDEX($T$81:$T$111,MATCH(W51,$S$81:$S$111,0))</f>
        <v>1520</v>
      </c>
      <c r="Z51" s="262">
        <f t="shared" si="20"/>
        <v>213.15789473684211</v>
      </c>
      <c r="AA51" s="266">
        <v>0.75</v>
      </c>
      <c r="AB51" s="259">
        <f t="shared" si="21"/>
        <v>9.9863999999999997</v>
      </c>
      <c r="AC51" s="259">
        <f t="shared" si="22"/>
        <v>32.444124008651769</v>
      </c>
    </row>
    <row r="52" spans="6:31" x14ac:dyDescent="0.25">
      <c r="F52" s="157">
        <v>3</v>
      </c>
      <c r="G52" s="157" t="s">
        <v>1471</v>
      </c>
      <c r="H52" s="157">
        <v>7513</v>
      </c>
      <c r="I52" s="157">
        <v>435</v>
      </c>
      <c r="J52" s="271">
        <f t="shared" si="12"/>
        <v>17271.264367816089</v>
      </c>
      <c r="K52" s="157">
        <f>K51</f>
        <v>25</v>
      </c>
      <c r="L52" s="259">
        <f t="shared" si="13"/>
        <v>690.85057471264361</v>
      </c>
      <c r="M52" s="266">
        <v>0.28000000000000003</v>
      </c>
      <c r="N52" s="157">
        <f t="shared" si="14"/>
        <v>1.0669680000000001</v>
      </c>
      <c r="O52" s="262">
        <f t="shared" si="15"/>
        <v>281.65793163431323</v>
      </c>
      <c r="P52" s="259">
        <f t="shared" si="16"/>
        <v>26.674200000000003</v>
      </c>
      <c r="Q52" s="262">
        <f t="shared" si="17"/>
        <v>281.65793163431329</v>
      </c>
      <c r="S52" s="157">
        <f t="shared" ref="S52:S79" si="23">S50+1</f>
        <v>2</v>
      </c>
      <c r="T52" s="157" t="s">
        <v>470</v>
      </c>
      <c r="V52" s="157">
        <v>3</v>
      </c>
      <c r="W52" s="157" t="str">
        <f t="shared" si="18"/>
        <v>Duvha</v>
      </c>
      <c r="X52" s="157">
        <f t="shared" si="19"/>
        <v>696</v>
      </c>
      <c r="Y52" s="157">
        <f>INDEX($T$81:$T$111,MATCH(W52,$S$81:$S$111,0))</f>
        <v>3480</v>
      </c>
      <c r="Z52" s="262">
        <f t="shared" si="20"/>
        <v>200</v>
      </c>
      <c r="AA52" s="266">
        <v>0.75</v>
      </c>
      <c r="AB52" s="259">
        <f t="shared" si="21"/>
        <v>22.863599999999998</v>
      </c>
      <c r="AC52" s="259">
        <f t="shared" si="22"/>
        <v>30.441400304414007</v>
      </c>
    </row>
    <row r="53" spans="6:31" x14ac:dyDescent="0.25">
      <c r="F53" s="157">
        <v>1</v>
      </c>
      <c r="G53" s="157" t="s">
        <v>239</v>
      </c>
      <c r="H53" s="157">
        <v>2461</v>
      </c>
      <c r="I53" s="157">
        <v>634</v>
      </c>
      <c r="J53" s="271">
        <f t="shared" si="12"/>
        <v>3881.7034700315457</v>
      </c>
      <c r="K53" s="157">
        <v>20</v>
      </c>
      <c r="L53" s="259">
        <f t="shared" si="13"/>
        <v>194.08517350157729</v>
      </c>
      <c r="M53" s="266">
        <v>0.36370000000000002</v>
      </c>
      <c r="N53" s="157">
        <f t="shared" si="14"/>
        <v>2.0199316080000003</v>
      </c>
      <c r="O53" s="262">
        <f t="shared" si="15"/>
        <v>60.917904107573122</v>
      </c>
      <c r="P53" s="259">
        <f t="shared" si="16"/>
        <v>40.398632160000005</v>
      </c>
      <c r="Q53" s="262">
        <f t="shared" si="17"/>
        <v>60.917904107573122</v>
      </c>
      <c r="S53" s="157">
        <f t="shared" si="23"/>
        <v>2</v>
      </c>
      <c r="T53" s="157">
        <v>324</v>
      </c>
      <c r="V53" s="157">
        <v>4</v>
      </c>
      <c r="W53" s="157" t="str">
        <f t="shared" si="18"/>
        <v>Grootvlei</v>
      </c>
      <c r="X53" s="157">
        <f t="shared" si="19"/>
        <v>427</v>
      </c>
      <c r="Y53" s="157">
        <v>1080</v>
      </c>
      <c r="Z53" s="262">
        <f t="shared" si="20"/>
        <v>395.37037037037038</v>
      </c>
      <c r="AA53" s="266">
        <v>0.75</v>
      </c>
      <c r="AB53" s="259">
        <f t="shared" si="21"/>
        <v>7.0955999999999992</v>
      </c>
      <c r="AC53" s="259">
        <f t="shared" si="22"/>
        <v>60.178138564744359</v>
      </c>
    </row>
    <row r="54" spans="6:31" x14ac:dyDescent="0.25">
      <c r="F54" s="157">
        <v>2</v>
      </c>
      <c r="G54" s="157" t="s">
        <v>239</v>
      </c>
      <c r="H54" s="157">
        <v>2238</v>
      </c>
      <c r="I54" s="157">
        <v>563</v>
      </c>
      <c r="J54" s="271">
        <f t="shared" si="12"/>
        <v>3975.1332149200712</v>
      </c>
      <c r="K54" s="157">
        <f>K53</f>
        <v>20</v>
      </c>
      <c r="L54" s="259">
        <f t="shared" si="13"/>
        <v>198.75666074600355</v>
      </c>
      <c r="M54" s="266">
        <f>M53</f>
        <v>0.36370000000000002</v>
      </c>
      <c r="N54" s="157">
        <f t="shared" si="14"/>
        <v>1.793724756</v>
      </c>
      <c r="O54" s="262">
        <f t="shared" si="15"/>
        <v>62.384153212857818</v>
      </c>
      <c r="P54" s="259">
        <f t="shared" si="16"/>
        <v>35.874495119999999</v>
      </c>
      <c r="Q54" s="262">
        <f t="shared" si="17"/>
        <v>62.384153212857818</v>
      </c>
      <c r="S54" s="157">
        <f t="shared" si="23"/>
        <v>3</v>
      </c>
      <c r="T54" s="157" t="s">
        <v>466</v>
      </c>
      <c r="V54" s="157">
        <v>5</v>
      </c>
      <c r="W54" s="157" t="str">
        <f t="shared" si="18"/>
        <v>Hendrina</v>
      </c>
      <c r="X54" s="157">
        <f t="shared" si="19"/>
        <v>644</v>
      </c>
      <c r="Y54" s="157">
        <f>INDEX($T$81:$T$111,MATCH(W54,$S$81:$S$111,0))</f>
        <v>1900</v>
      </c>
      <c r="Z54" s="262">
        <f t="shared" si="20"/>
        <v>338.9473684210526</v>
      </c>
      <c r="AA54" s="266">
        <v>0.75</v>
      </c>
      <c r="AB54" s="259">
        <f t="shared" si="21"/>
        <v>12.483000000000001</v>
      </c>
      <c r="AC54" s="259">
        <f t="shared" si="22"/>
        <v>51.590162621164779</v>
      </c>
    </row>
    <row r="55" spans="6:31" x14ac:dyDescent="0.25">
      <c r="F55" s="157">
        <v>3</v>
      </c>
      <c r="G55" s="157" t="s">
        <v>239</v>
      </c>
      <c r="H55" s="157">
        <v>8506</v>
      </c>
      <c r="I55" s="157">
        <v>787</v>
      </c>
      <c r="J55" s="271">
        <f t="shared" si="12"/>
        <v>10808.132147395172</v>
      </c>
      <c r="K55" s="157">
        <f>K54</f>
        <v>20</v>
      </c>
      <c r="L55" s="259">
        <f t="shared" si="13"/>
        <v>540.4066073697586</v>
      </c>
      <c r="M55" s="266">
        <f>M54</f>
        <v>0.36370000000000002</v>
      </c>
      <c r="N55" s="157">
        <f t="shared" si="14"/>
        <v>2.507391444</v>
      </c>
      <c r="O55" s="262">
        <f t="shared" si="15"/>
        <v>169.61850971363529</v>
      </c>
      <c r="P55" s="259">
        <f t="shared" si="16"/>
        <v>50.147828879999999</v>
      </c>
      <c r="Q55" s="262">
        <f t="shared" si="17"/>
        <v>169.61850971363529</v>
      </c>
      <c r="S55" s="157">
        <f t="shared" si="23"/>
        <v>3</v>
      </c>
      <c r="T55" s="157">
        <v>696</v>
      </c>
      <c r="V55" s="157">
        <v>6</v>
      </c>
      <c r="W55" s="157" t="str">
        <f t="shared" si="18"/>
        <v>Kendal</v>
      </c>
      <c r="X55" s="157">
        <f t="shared" si="19"/>
        <v>668</v>
      </c>
      <c r="Y55" s="157">
        <f>INDEX($T$81:$T$111,MATCH(W55,$S$81:$S$111,0))</f>
        <v>3840</v>
      </c>
      <c r="Z55" s="262">
        <f t="shared" si="20"/>
        <v>173.95833333333331</v>
      </c>
      <c r="AA55" s="266">
        <v>0.75</v>
      </c>
      <c r="AB55" s="259">
        <f t="shared" si="21"/>
        <v>25.228800000000003</v>
      </c>
      <c r="AC55" s="259">
        <f t="shared" si="22"/>
        <v>26.477676306443428</v>
      </c>
    </row>
    <row r="56" spans="6:31" x14ac:dyDescent="0.25">
      <c r="F56" s="157">
        <v>1</v>
      </c>
      <c r="G56" s="157" t="s">
        <v>1180</v>
      </c>
      <c r="H56" s="157">
        <v>1382</v>
      </c>
      <c r="I56" s="157">
        <v>150</v>
      </c>
      <c r="J56" s="271">
        <f t="shared" si="12"/>
        <v>9213.3333333333321</v>
      </c>
      <c r="K56" s="157">
        <v>30</v>
      </c>
      <c r="L56" s="259">
        <f t="shared" si="13"/>
        <v>307.11111111111109</v>
      </c>
      <c r="M56" s="266">
        <v>0.4</v>
      </c>
      <c r="N56" s="157">
        <f t="shared" si="14"/>
        <v>0.52560000000000007</v>
      </c>
      <c r="O56" s="262">
        <f t="shared" si="15"/>
        <v>87.645865043125312</v>
      </c>
      <c r="P56" s="259">
        <f t="shared" si="16"/>
        <v>15.768000000000002</v>
      </c>
      <c r="Q56" s="262">
        <f t="shared" si="17"/>
        <v>87.645865043125298</v>
      </c>
      <c r="S56" s="157">
        <f t="shared" si="23"/>
        <v>4</v>
      </c>
      <c r="T56" s="157" t="s">
        <v>405</v>
      </c>
      <c r="V56" s="157">
        <v>7</v>
      </c>
      <c r="W56" s="157" t="str">
        <f t="shared" si="18"/>
        <v>Komati</v>
      </c>
      <c r="X56" s="157">
        <f t="shared" si="19"/>
        <v>331</v>
      </c>
      <c r="Y56" s="157">
        <v>900</v>
      </c>
      <c r="Z56" s="262">
        <f t="shared" si="20"/>
        <v>367.77777777777777</v>
      </c>
      <c r="AA56" s="266">
        <v>0.75</v>
      </c>
      <c r="AB56" s="259">
        <f t="shared" si="21"/>
        <v>5.9130000000000003</v>
      </c>
      <c r="AC56" s="259">
        <f t="shared" si="22"/>
        <v>55.97835278200575</v>
      </c>
    </row>
    <row r="57" spans="6:31" x14ac:dyDescent="0.25">
      <c r="F57" s="157">
        <v>2</v>
      </c>
      <c r="G57" s="157" t="s">
        <v>1180</v>
      </c>
      <c r="H57" s="157">
        <v>1180</v>
      </c>
      <c r="I57" s="157">
        <v>50</v>
      </c>
      <c r="J57" s="271">
        <f t="shared" si="12"/>
        <v>23600</v>
      </c>
      <c r="K57" s="157">
        <v>30</v>
      </c>
      <c r="L57" s="259">
        <f t="shared" si="13"/>
        <v>786.66666666666663</v>
      </c>
      <c r="M57" s="266">
        <f>M56</f>
        <v>0.4</v>
      </c>
      <c r="N57" s="157">
        <f t="shared" si="14"/>
        <v>0.17519999999999999</v>
      </c>
      <c r="O57" s="262">
        <f t="shared" si="15"/>
        <v>224.50532724505328</v>
      </c>
      <c r="P57" s="259">
        <f t="shared" si="16"/>
        <v>5.2560000000000002</v>
      </c>
      <c r="Q57" s="262">
        <f t="shared" si="17"/>
        <v>224.50532724505325</v>
      </c>
      <c r="S57" s="157">
        <f t="shared" si="23"/>
        <v>4</v>
      </c>
      <c r="T57" s="157">
        <v>427</v>
      </c>
      <c r="V57" s="157">
        <v>8</v>
      </c>
      <c r="W57" s="157" t="str">
        <f t="shared" si="18"/>
        <v>Kriel</v>
      </c>
      <c r="X57" s="157">
        <f t="shared" si="19"/>
        <v>701</v>
      </c>
      <c r="Y57" s="157">
        <f>INDEX($T$81:$T$111,MATCH(W57,$S$81:$S$111,0))</f>
        <v>2880</v>
      </c>
      <c r="Z57" s="262">
        <f t="shared" si="20"/>
        <v>243.40277777777777</v>
      </c>
      <c r="AA57" s="266">
        <v>0.75</v>
      </c>
      <c r="AB57" s="259">
        <f t="shared" si="21"/>
        <v>18.921599999999998</v>
      </c>
      <c r="AC57" s="259">
        <f t="shared" si="22"/>
        <v>37.047606967698293</v>
      </c>
    </row>
    <row r="58" spans="6:31" x14ac:dyDescent="0.25">
      <c r="F58" s="157">
        <v>3</v>
      </c>
      <c r="G58" s="157" t="s">
        <v>1180</v>
      </c>
      <c r="H58" s="157">
        <v>1730</v>
      </c>
      <c r="I58" s="157">
        <v>200</v>
      </c>
      <c r="J58" s="271">
        <f t="shared" si="12"/>
        <v>8650</v>
      </c>
      <c r="K58" s="157">
        <v>30</v>
      </c>
      <c r="L58" s="259">
        <f t="shared" si="13"/>
        <v>288.33333333333331</v>
      </c>
      <c r="M58" s="266">
        <f>M57</f>
        <v>0.4</v>
      </c>
      <c r="N58" s="157">
        <f t="shared" si="14"/>
        <v>0.70079999999999998</v>
      </c>
      <c r="O58" s="262">
        <f t="shared" si="15"/>
        <v>82.286910197869105</v>
      </c>
      <c r="P58" s="259">
        <f t="shared" si="16"/>
        <v>21.024000000000001</v>
      </c>
      <c r="Q58" s="262">
        <f t="shared" si="17"/>
        <v>82.286910197869105</v>
      </c>
      <c r="S58" s="157">
        <f t="shared" si="23"/>
        <v>5</v>
      </c>
      <c r="T58" s="157" t="s">
        <v>409</v>
      </c>
      <c r="V58" s="157">
        <v>10</v>
      </c>
      <c r="W58" s="157" t="str">
        <f t="shared" si="18"/>
        <v>Lethabo</v>
      </c>
      <c r="X58" s="157">
        <f t="shared" si="19"/>
        <v>628</v>
      </c>
      <c r="Y58" s="157">
        <f>INDEX($T$81:$T$111,MATCH(W58,$S$81:$S$111,0))</f>
        <v>3540</v>
      </c>
      <c r="Z58" s="262">
        <f t="shared" si="20"/>
        <v>177.40112994350281</v>
      </c>
      <c r="AA58" s="266">
        <v>0.75</v>
      </c>
      <c r="AB58" s="259">
        <f t="shared" si="21"/>
        <v>23.2578</v>
      </c>
      <c r="AC58" s="259">
        <f t="shared" si="22"/>
        <v>27.001694055327675</v>
      </c>
    </row>
    <row r="59" spans="6:31" x14ac:dyDescent="0.25">
      <c r="S59" s="157">
        <f t="shared" si="23"/>
        <v>5</v>
      </c>
      <c r="T59" s="157">
        <v>644</v>
      </c>
      <c r="V59" s="157">
        <v>11</v>
      </c>
      <c r="W59" s="157" t="str">
        <f t="shared" si="18"/>
        <v>Majuba</v>
      </c>
      <c r="X59" s="157">
        <f t="shared" si="19"/>
        <v>508</v>
      </c>
      <c r="Y59" s="270">
        <f>T90+T91</f>
        <v>3840</v>
      </c>
      <c r="Z59" s="262">
        <f t="shared" si="20"/>
        <v>132.29166666666666</v>
      </c>
      <c r="AA59" s="266">
        <v>0.75</v>
      </c>
      <c r="AB59" s="259">
        <f t="shared" si="21"/>
        <v>25.228800000000003</v>
      </c>
      <c r="AC59" s="259">
        <f t="shared" si="22"/>
        <v>20.135717909690509</v>
      </c>
    </row>
    <row r="60" spans="6:31" x14ac:dyDescent="0.25">
      <c r="G60" s="157" t="s">
        <v>1477</v>
      </c>
      <c r="J60" s="267">
        <f>AVERAGE(J50:J51)</f>
        <v>9406.5450171508364</v>
      </c>
      <c r="L60" s="269">
        <f>AVERAGE(L50:L51)</f>
        <v>376.26180068603344</v>
      </c>
      <c r="O60" s="262">
        <f>AVERAGE(O50:O51)</f>
        <v>153.40092982959615</v>
      </c>
      <c r="S60" s="157">
        <f t="shared" si="23"/>
        <v>6</v>
      </c>
      <c r="T60" s="157" t="s">
        <v>455</v>
      </c>
      <c r="V60" s="157">
        <v>12</v>
      </c>
      <c r="W60" s="157" t="str">
        <f t="shared" si="18"/>
        <v>Matimba</v>
      </c>
      <c r="X60" s="157">
        <f t="shared" si="19"/>
        <v>476</v>
      </c>
      <c r="Y60" s="157">
        <f>INDEX($T$81:$T$111,MATCH(W60,$S$81:$S$111,0))</f>
        <v>3720</v>
      </c>
      <c r="Z60" s="262">
        <f t="shared" si="20"/>
        <v>127.95698924731182</v>
      </c>
      <c r="AA60" s="266">
        <v>0.75</v>
      </c>
      <c r="AB60" s="259">
        <f t="shared" si="21"/>
        <v>24.4404</v>
      </c>
      <c r="AC60" s="259">
        <f t="shared" si="22"/>
        <v>19.475949657125089</v>
      </c>
    </row>
    <row r="61" spans="6:31" x14ac:dyDescent="0.25">
      <c r="G61" s="157" t="s">
        <v>1476</v>
      </c>
      <c r="J61" s="267">
        <f>AVERAGE(J53:J55)</f>
        <v>6221.6562774489294</v>
      </c>
      <c r="L61" s="269">
        <f>AVERAGE(L53:L55)</f>
        <v>311.08281387244648</v>
      </c>
      <c r="O61" s="262">
        <f>AVERAGE(O53:O55)</f>
        <v>97.640189011355417</v>
      </c>
      <c r="S61" s="157">
        <f t="shared" si="23"/>
        <v>6</v>
      </c>
      <c r="T61" s="157">
        <v>668</v>
      </c>
      <c r="V61" s="157">
        <v>13</v>
      </c>
      <c r="W61" s="157" t="str">
        <f t="shared" si="18"/>
        <v>Matla</v>
      </c>
      <c r="X61" s="157">
        <f t="shared" si="19"/>
        <v>659</v>
      </c>
      <c r="Y61" s="157">
        <f>INDEX($T$81:$T$111,MATCH(W61,$S$81:$S$111,0))</f>
        <v>3480</v>
      </c>
      <c r="Z61" s="262">
        <f t="shared" si="20"/>
        <v>189.36781609195401</v>
      </c>
      <c r="AA61" s="266">
        <v>0.75</v>
      </c>
      <c r="AB61" s="259">
        <f t="shared" si="21"/>
        <v>22.863599999999998</v>
      </c>
      <c r="AC61" s="259">
        <f t="shared" si="22"/>
        <v>28.823107472139124</v>
      </c>
    </row>
    <row r="62" spans="6:31" x14ac:dyDescent="0.25">
      <c r="G62" s="157" t="s">
        <v>1475</v>
      </c>
      <c r="J62" s="267">
        <f>AVERAGE(J56:J58)</f>
        <v>13821.111111111109</v>
      </c>
      <c r="L62" s="268">
        <f>AVERAGE(L56:L58)</f>
        <v>460.7037037037037</v>
      </c>
      <c r="O62" s="267">
        <f>AVERAGE(O56:O58)</f>
        <v>131.47936749534924</v>
      </c>
      <c r="S62" s="157">
        <f t="shared" si="23"/>
        <v>7</v>
      </c>
      <c r="T62" s="157" t="s">
        <v>406</v>
      </c>
      <c r="V62" s="157">
        <v>15</v>
      </c>
      <c r="W62" s="157" t="str">
        <f t="shared" si="18"/>
        <v>Tutuka</v>
      </c>
      <c r="X62" s="157">
        <f t="shared" si="19"/>
        <v>649</v>
      </c>
      <c r="Y62" s="157">
        <f>INDEX($T$81:$T$111,MATCH(W62,$S$81:$S$111,0))</f>
        <v>3540</v>
      </c>
      <c r="Z62" s="262">
        <f t="shared" si="20"/>
        <v>183.33333333333331</v>
      </c>
      <c r="AA62" s="266">
        <v>0.75</v>
      </c>
      <c r="AB62" s="259">
        <f t="shared" si="21"/>
        <v>23.2578</v>
      </c>
      <c r="AC62" s="259">
        <f t="shared" si="22"/>
        <v>27.904616945712835</v>
      </c>
    </row>
    <row r="63" spans="6:31" x14ac:dyDescent="0.25">
      <c r="S63" s="157">
        <f t="shared" si="23"/>
        <v>7</v>
      </c>
      <c r="T63" s="157">
        <v>331</v>
      </c>
      <c r="W63" s="157" t="s">
        <v>1474</v>
      </c>
      <c r="Z63" s="262">
        <f>SUM(X50:X62)/SUM(Y50:Y62)*1000</f>
        <v>205.56483027267669</v>
      </c>
      <c r="AC63" s="262">
        <f>SUM(X50:X62)/SUM(AB50:AB62)</f>
        <v>31.288406434197366</v>
      </c>
    </row>
    <row r="64" spans="6:31" x14ac:dyDescent="0.25">
      <c r="F64" s="254" t="s">
        <v>148</v>
      </c>
      <c r="S64" s="157">
        <f t="shared" si="23"/>
        <v>8</v>
      </c>
      <c r="T64" s="157" t="s">
        <v>410</v>
      </c>
      <c r="AE64" s="265" t="s">
        <v>1473</v>
      </c>
    </row>
    <row r="65" spans="5:31" x14ac:dyDescent="0.25">
      <c r="G65" s="544" t="s">
        <v>1463</v>
      </c>
      <c r="H65" s="544"/>
      <c r="I65" s="544"/>
      <c r="J65" s="544"/>
      <c r="K65" s="544" t="s">
        <v>1472</v>
      </c>
      <c r="L65" s="544"/>
      <c r="M65" s="544"/>
      <c r="N65" s="544"/>
      <c r="S65" s="157">
        <f t="shared" si="23"/>
        <v>8</v>
      </c>
      <c r="T65" s="157">
        <v>701</v>
      </c>
      <c r="W65" s="157" t="s">
        <v>539</v>
      </c>
      <c r="X65" s="157">
        <v>1200</v>
      </c>
      <c r="Y65" s="157">
        <v>1860</v>
      </c>
      <c r="Z65" s="262">
        <f>X65/Y65*1000</f>
        <v>645.16129032258061</v>
      </c>
      <c r="AA65" s="266">
        <v>0.8</v>
      </c>
      <c r="AB65" s="259">
        <f>Y65*8.76*AA65/1000</f>
        <v>13.034880000000001</v>
      </c>
      <c r="AC65" s="259">
        <f>X65/AB65</f>
        <v>92.060686404477821</v>
      </c>
    </row>
    <row r="66" spans="5:31" x14ac:dyDescent="0.25">
      <c r="G66" s="157" t="s">
        <v>1471</v>
      </c>
      <c r="H66" s="157" t="s">
        <v>239</v>
      </c>
      <c r="I66" s="157" t="s">
        <v>140</v>
      </c>
      <c r="J66" s="157" t="s">
        <v>920</v>
      </c>
      <c r="K66" s="157" t="s">
        <v>1471</v>
      </c>
      <c r="L66" s="157" t="s">
        <v>239</v>
      </c>
      <c r="M66" s="157" t="s">
        <v>140</v>
      </c>
      <c r="N66" s="157" t="s">
        <v>920</v>
      </c>
      <c r="S66" s="157">
        <f t="shared" si="23"/>
        <v>9</v>
      </c>
      <c r="T66" s="157" t="s">
        <v>513</v>
      </c>
    </row>
    <row r="67" spans="5:31" x14ac:dyDescent="0.25">
      <c r="F67" s="157" t="s">
        <v>1470</v>
      </c>
      <c r="G67" s="262">
        <f>AVERAGE(Q50:Q51)</f>
        <v>153.40092982959615</v>
      </c>
      <c r="H67" s="262">
        <f>AVERAGE(Q53:Q54)</f>
        <v>61.651028660215474</v>
      </c>
      <c r="K67" s="262">
        <f>L60</f>
        <v>376.26180068603344</v>
      </c>
      <c r="L67" s="262">
        <f>AVERAGE(L53:L54)</f>
        <v>196.42091712379042</v>
      </c>
      <c r="S67" s="157">
        <f t="shared" si="23"/>
        <v>9</v>
      </c>
      <c r="T67" s="157">
        <v>247</v>
      </c>
    </row>
    <row r="68" spans="5:31" x14ac:dyDescent="0.25">
      <c r="F68" s="157" t="s">
        <v>1469</v>
      </c>
      <c r="G68" s="262">
        <f>Q52</f>
        <v>281.65793163431329</v>
      </c>
      <c r="H68" s="262">
        <f>Q55</f>
        <v>169.61850971363529</v>
      </c>
      <c r="K68" s="262">
        <f>L52</f>
        <v>690.85057471264361</v>
      </c>
      <c r="L68" s="262">
        <f>L55</f>
        <v>540.4066073697586</v>
      </c>
      <c r="S68" s="157">
        <f t="shared" si="23"/>
        <v>10</v>
      </c>
      <c r="T68" s="157" t="s">
        <v>441</v>
      </c>
      <c r="AE68" s="265" t="s">
        <v>1468</v>
      </c>
    </row>
    <row r="69" spans="5:31" x14ac:dyDescent="0.25">
      <c r="F69" s="157" t="s">
        <v>1467</v>
      </c>
      <c r="G69" s="157">
        <v>107</v>
      </c>
      <c r="H69" s="157">
        <v>127</v>
      </c>
      <c r="I69" s="157">
        <v>28</v>
      </c>
      <c r="J69" s="157">
        <v>60</v>
      </c>
      <c r="K69" s="262">
        <f>G69*K67/G67</f>
        <v>262.44960000000003</v>
      </c>
      <c r="L69" s="262">
        <f>H69*L67/H67</f>
        <v>404.62352400000003</v>
      </c>
      <c r="M69" s="262">
        <f>M72/I72*I69</f>
        <v>183.95999999999998</v>
      </c>
      <c r="N69" s="262">
        <f>N72/J72*J69</f>
        <v>420.48000000000008</v>
      </c>
      <c r="S69" s="157">
        <f t="shared" si="23"/>
        <v>10</v>
      </c>
      <c r="T69" s="157">
        <v>628</v>
      </c>
    </row>
    <row r="70" spans="5:31" x14ac:dyDescent="0.25">
      <c r="F70" s="157" t="s">
        <v>1466</v>
      </c>
      <c r="G70" s="262">
        <f>K70*G67/K67</f>
        <v>43.793038821952514</v>
      </c>
      <c r="H70" s="262">
        <f>L70*H67/L67</f>
        <v>21.522496903298855</v>
      </c>
      <c r="J70" s="262"/>
      <c r="K70" s="262">
        <v>107.41556562248512</v>
      </c>
      <c r="L70" s="262">
        <v>68.570933403872985</v>
      </c>
      <c r="S70" s="157">
        <f t="shared" si="23"/>
        <v>11</v>
      </c>
      <c r="T70" s="157" t="s">
        <v>407</v>
      </c>
      <c r="Y70" s="157" t="s">
        <v>147</v>
      </c>
      <c r="Z70" s="157" t="s">
        <v>1465</v>
      </c>
      <c r="AA70" s="157" t="s">
        <v>1464</v>
      </c>
      <c r="AC70" s="157" t="s">
        <v>1463</v>
      </c>
    </row>
    <row r="71" spans="5:31" x14ac:dyDescent="0.25">
      <c r="F71" s="157" t="s">
        <v>485</v>
      </c>
      <c r="I71" s="259">
        <f>AVERAGE(AC50:AC62)</f>
        <v>35.685755914469944</v>
      </c>
      <c r="J71" s="259">
        <f>AC65</f>
        <v>92.060686404477821</v>
      </c>
      <c r="M71" s="262">
        <f>Z63</f>
        <v>205.56483027267669</v>
      </c>
      <c r="N71" s="262">
        <f>AA73</f>
        <v>645.16129032258061</v>
      </c>
      <c r="S71" s="157">
        <f t="shared" si="23"/>
        <v>11</v>
      </c>
      <c r="T71" s="157">
        <v>508</v>
      </c>
      <c r="W71" s="157" t="s">
        <v>1462</v>
      </c>
      <c r="Y71" s="157">
        <v>35.840000000000003</v>
      </c>
      <c r="Z71" s="157">
        <f>SUM(X50:X62)</f>
        <v>7388</v>
      </c>
      <c r="AA71" s="262">
        <f>Z71/Y71</f>
        <v>206.13839285714283</v>
      </c>
      <c r="AB71" s="157" t="s">
        <v>1461</v>
      </c>
    </row>
    <row r="72" spans="5:31" x14ac:dyDescent="0.25">
      <c r="F72" s="157" t="s">
        <v>1425</v>
      </c>
      <c r="G72" s="262">
        <f>O60</f>
        <v>153.40092982959615</v>
      </c>
      <c r="H72" s="262">
        <f>O61</f>
        <v>97.640189011355417</v>
      </c>
      <c r="I72" s="259">
        <f>AC79</f>
        <v>50.752558953819687</v>
      </c>
      <c r="J72" s="259">
        <f>J71</f>
        <v>92.060686404477821</v>
      </c>
      <c r="K72" s="262">
        <f>L60</f>
        <v>376.26180068603344</v>
      </c>
      <c r="L72" s="262">
        <f>L61</f>
        <v>311.08281387244648</v>
      </c>
      <c r="M72" s="262">
        <f>AA79</f>
        <v>333.44431232659531</v>
      </c>
      <c r="N72" s="262">
        <f>N71</f>
        <v>645.16129032258061</v>
      </c>
      <c r="S72" s="157">
        <f t="shared" si="23"/>
        <v>12</v>
      </c>
      <c r="T72" s="157" t="s">
        <v>434</v>
      </c>
      <c r="W72" s="157" t="s">
        <v>1381</v>
      </c>
      <c r="Y72" s="157">
        <v>0.67</v>
      </c>
      <c r="AA72" s="262">
        <f>Z72/Y72</f>
        <v>0</v>
      </c>
    </row>
    <row r="73" spans="5:31" x14ac:dyDescent="0.25">
      <c r="S73" s="157">
        <f t="shared" si="23"/>
        <v>12</v>
      </c>
      <c r="T73" s="157">
        <v>476</v>
      </c>
      <c r="W73" s="157" t="s">
        <v>1231</v>
      </c>
      <c r="Y73" s="157">
        <v>1.86</v>
      </c>
      <c r="Z73" s="157">
        <f>X65</f>
        <v>1200</v>
      </c>
      <c r="AA73" s="264">
        <f>Z73/Y73</f>
        <v>645.16129032258061</v>
      </c>
    </row>
    <row r="74" spans="5:31" x14ac:dyDescent="0.25">
      <c r="S74" s="157">
        <f t="shared" si="23"/>
        <v>13</v>
      </c>
      <c r="T74" s="157" t="s">
        <v>413</v>
      </c>
      <c r="W74" s="157" t="s">
        <v>1228</v>
      </c>
      <c r="Y74" s="157">
        <v>2.46</v>
      </c>
      <c r="AA74" s="262">
        <f>Z74/Y74</f>
        <v>0</v>
      </c>
    </row>
    <row r="75" spans="5:31" x14ac:dyDescent="0.25">
      <c r="S75" s="157">
        <f t="shared" si="23"/>
        <v>13</v>
      </c>
      <c r="T75" s="157">
        <v>659</v>
      </c>
      <c r="W75" s="157" t="s">
        <v>1388</v>
      </c>
      <c r="Y75" s="157">
        <v>1.58</v>
      </c>
      <c r="AA75" s="262">
        <f>Z75/Y75</f>
        <v>0</v>
      </c>
    </row>
    <row r="76" spans="5:31" x14ac:dyDescent="0.25">
      <c r="S76" s="157">
        <f t="shared" si="23"/>
        <v>14</v>
      </c>
      <c r="T76" s="157" t="s">
        <v>426</v>
      </c>
      <c r="Y76" s="157">
        <f>SUM(Y71:Y75)</f>
        <v>42.410000000000004</v>
      </c>
      <c r="AA76" s="262"/>
    </row>
    <row r="77" spans="5:31" x14ac:dyDescent="0.25">
      <c r="S77" s="157">
        <f t="shared" si="23"/>
        <v>14</v>
      </c>
      <c r="T77" s="157">
        <v>293</v>
      </c>
      <c r="Y77" s="157" t="s">
        <v>147</v>
      </c>
      <c r="Z77" s="157" t="s">
        <v>1460</v>
      </c>
    </row>
    <row r="78" spans="5:31" x14ac:dyDescent="0.25">
      <c r="S78" s="157">
        <f t="shared" si="23"/>
        <v>15</v>
      </c>
      <c r="T78" s="157" t="s">
        <v>418</v>
      </c>
      <c r="W78" s="157" t="s">
        <v>1459</v>
      </c>
      <c r="Y78" s="249">
        <f>G23</f>
        <v>43.910000000000004</v>
      </c>
      <c r="Z78" s="157">
        <f>F104*1000</f>
        <v>15221.333333333334</v>
      </c>
      <c r="AA78" s="262"/>
    </row>
    <row r="79" spans="5:31" x14ac:dyDescent="0.25">
      <c r="S79" s="157">
        <f t="shared" si="23"/>
        <v>15</v>
      </c>
      <c r="T79" s="157">
        <v>649</v>
      </c>
      <c r="W79" s="157" t="s">
        <v>1458</v>
      </c>
      <c r="Y79" s="249">
        <f>Y78-Y73</f>
        <v>42.050000000000004</v>
      </c>
      <c r="Z79" s="157">
        <f>Z78-Z73</f>
        <v>14021.333333333334</v>
      </c>
      <c r="AA79" s="264">
        <f>Z79/Y79</f>
        <v>333.44431232659531</v>
      </c>
      <c r="AB79" s="157" t="s">
        <v>1457</v>
      </c>
      <c r="AC79" s="157">
        <f>AC63/Z63*AA79</f>
        <v>50.752558953819687</v>
      </c>
    </row>
    <row r="80" spans="5:31" x14ac:dyDescent="0.25">
      <c r="E80" s="157" t="s">
        <v>1456</v>
      </c>
    </row>
    <row r="81" spans="5:20" x14ac:dyDescent="0.25">
      <c r="E81" s="157" t="s">
        <v>1455</v>
      </c>
      <c r="S81" s="256" t="s">
        <v>307</v>
      </c>
      <c r="T81" s="261">
        <v>1520</v>
      </c>
    </row>
    <row r="82" spans="5:20" x14ac:dyDescent="0.25">
      <c r="H82" s="157">
        <v>2012</v>
      </c>
      <c r="S82" s="256" t="s">
        <v>305</v>
      </c>
      <c r="T82" s="261">
        <v>360</v>
      </c>
    </row>
    <row r="83" spans="5:20" x14ac:dyDescent="0.25">
      <c r="E83" s="157" t="s">
        <v>1454</v>
      </c>
      <c r="F83" s="157" t="s">
        <v>1450</v>
      </c>
      <c r="G83" s="157" t="s">
        <v>1449</v>
      </c>
      <c r="H83" s="157">
        <v>3.730645</v>
      </c>
      <c r="S83" s="256" t="s">
        <v>303</v>
      </c>
      <c r="T83" s="261">
        <v>200</v>
      </c>
    </row>
    <row r="84" spans="5:20" x14ac:dyDescent="0.25">
      <c r="E84" s="157" t="s">
        <v>1453</v>
      </c>
      <c r="F84" s="157" t="s">
        <v>1450</v>
      </c>
      <c r="G84" s="157" t="s">
        <v>1449</v>
      </c>
      <c r="H84" s="157">
        <v>4.2457479999999999</v>
      </c>
      <c r="S84" s="256" t="s">
        <v>301</v>
      </c>
      <c r="T84" s="261">
        <v>2220</v>
      </c>
    </row>
    <row r="85" spans="5:20" x14ac:dyDescent="0.25">
      <c r="E85" s="157" t="s">
        <v>1452</v>
      </c>
      <c r="F85" s="157" t="s">
        <v>1450</v>
      </c>
      <c r="G85" s="157" t="s">
        <v>1449</v>
      </c>
      <c r="H85" s="157">
        <v>14.047689</v>
      </c>
      <c r="S85" s="256" t="s">
        <v>299</v>
      </c>
      <c r="T85" s="261">
        <v>3480</v>
      </c>
    </row>
    <row r="86" spans="5:20" x14ac:dyDescent="0.25">
      <c r="E86" s="157" t="s">
        <v>1451</v>
      </c>
      <c r="F86" s="157" t="s">
        <v>1450</v>
      </c>
      <c r="G86" s="157" t="s">
        <v>1449</v>
      </c>
      <c r="H86" s="157">
        <v>50.291947999999998</v>
      </c>
      <c r="S86" s="256" t="s">
        <v>297</v>
      </c>
      <c r="T86" s="261">
        <v>1900</v>
      </c>
    </row>
    <row r="87" spans="5:20" x14ac:dyDescent="0.25">
      <c r="S87" s="256" t="s">
        <v>295</v>
      </c>
      <c r="T87" s="261">
        <v>3840</v>
      </c>
    </row>
    <row r="88" spans="5:20" x14ac:dyDescent="0.25">
      <c r="E88" s="157" t="s">
        <v>115</v>
      </c>
      <c r="H88" s="259">
        <f>SUM(H83:H86)</f>
        <v>72.316029999999998</v>
      </c>
      <c r="S88" s="256" t="s">
        <v>293</v>
      </c>
      <c r="T88" s="261">
        <v>2880</v>
      </c>
    </row>
    <row r="89" spans="5:20" x14ac:dyDescent="0.25">
      <c r="E89" s="157" t="s">
        <v>1448</v>
      </c>
      <c r="H89" s="157">
        <v>44</v>
      </c>
      <c r="S89" s="256" t="s">
        <v>291</v>
      </c>
      <c r="T89" s="261">
        <v>3540</v>
      </c>
    </row>
    <row r="90" spans="5:20" x14ac:dyDescent="0.25">
      <c r="E90" s="157" t="s">
        <v>1447</v>
      </c>
      <c r="H90" s="262">
        <f>H88-H89</f>
        <v>28.316029999999998</v>
      </c>
      <c r="S90" s="256" t="s">
        <v>289</v>
      </c>
      <c r="T90" s="261">
        <v>1830</v>
      </c>
    </row>
    <row r="91" spans="5:20" x14ac:dyDescent="0.25">
      <c r="E91" s="157" t="s">
        <v>1446</v>
      </c>
      <c r="H91" s="262">
        <f>H90</f>
        <v>28.316029999999998</v>
      </c>
      <c r="S91" s="256" t="s">
        <v>287</v>
      </c>
      <c r="T91" s="261">
        <v>2010</v>
      </c>
    </row>
    <row r="92" spans="5:20" x14ac:dyDescent="0.25">
      <c r="S92" s="256" t="s">
        <v>285</v>
      </c>
      <c r="T92" s="263">
        <v>3720</v>
      </c>
    </row>
    <row r="93" spans="5:20" x14ac:dyDescent="0.25">
      <c r="E93" s="157" t="s">
        <v>1445</v>
      </c>
      <c r="H93" s="262">
        <f>H89-H91</f>
        <v>15.683970000000002</v>
      </c>
      <c r="S93" s="256" t="s">
        <v>283</v>
      </c>
      <c r="T93" s="261">
        <v>3480</v>
      </c>
    </row>
    <row r="94" spans="5:20" x14ac:dyDescent="0.25">
      <c r="E94" s="157" t="s">
        <v>1438</v>
      </c>
      <c r="H94" s="259">
        <f>SUM(X50:X65)/1000</f>
        <v>8.5879999999999992</v>
      </c>
      <c r="S94" s="256" t="s">
        <v>281</v>
      </c>
      <c r="T94" s="263">
        <v>3540</v>
      </c>
    </row>
    <row r="95" spans="5:20" x14ac:dyDescent="0.25">
      <c r="E95" s="157" t="s">
        <v>1444</v>
      </c>
      <c r="H95" s="262">
        <f>H93-H94</f>
        <v>7.095970000000003</v>
      </c>
      <c r="S95" s="256" t="s">
        <v>1443</v>
      </c>
      <c r="T95" s="261">
        <v>50</v>
      </c>
    </row>
    <row r="96" spans="5:20" x14ac:dyDescent="0.25">
      <c r="S96" s="256" t="s">
        <v>279</v>
      </c>
      <c r="T96" s="261">
        <v>160</v>
      </c>
    </row>
    <row r="97" spans="5:20" x14ac:dyDescent="0.25">
      <c r="S97" s="256" t="s">
        <v>1442</v>
      </c>
      <c r="T97" s="261">
        <v>90</v>
      </c>
    </row>
    <row r="98" spans="5:20" x14ac:dyDescent="0.25">
      <c r="E98" s="157" t="s">
        <v>1441</v>
      </c>
      <c r="I98" s="157" t="s">
        <v>1440</v>
      </c>
      <c r="S98" s="256" t="s">
        <v>1439</v>
      </c>
      <c r="T98" s="261">
        <v>180</v>
      </c>
    </row>
    <row r="99" spans="5:20" x14ac:dyDescent="0.25">
      <c r="F99" s="157" t="s">
        <v>1438</v>
      </c>
      <c r="G99" s="157" t="s">
        <v>126</v>
      </c>
      <c r="H99" s="157" t="s">
        <v>1437</v>
      </c>
      <c r="I99" s="157" t="s">
        <v>1436</v>
      </c>
      <c r="J99" s="157" t="s">
        <v>1435</v>
      </c>
      <c r="K99" s="157" t="s">
        <v>1434</v>
      </c>
      <c r="L99" s="157" t="s">
        <v>1433</v>
      </c>
      <c r="M99" s="157" t="s">
        <v>1432</v>
      </c>
      <c r="N99" s="157" t="s">
        <v>115</v>
      </c>
      <c r="S99" s="256" t="s">
        <v>1431</v>
      </c>
      <c r="T99" s="261">
        <v>150</v>
      </c>
    </row>
    <row r="100" spans="5:20" x14ac:dyDescent="0.25">
      <c r="E100" s="157" t="s">
        <v>1430</v>
      </c>
      <c r="F100" s="157">
        <v>10.106999999999999</v>
      </c>
      <c r="G100" s="157">
        <v>2.0049999999999999</v>
      </c>
      <c r="I100" s="157">
        <v>2.1349999999999998</v>
      </c>
      <c r="J100" s="157">
        <v>1.889</v>
      </c>
      <c r="K100" s="157">
        <v>5.1639999999999997</v>
      </c>
      <c r="L100" s="157">
        <v>1.4410000000000001</v>
      </c>
      <c r="M100" s="157">
        <v>10.507999999999999</v>
      </c>
      <c r="N100" s="157">
        <f>SUM(F100:M100)</f>
        <v>33.248999999999995</v>
      </c>
      <c r="S100" s="256" t="s">
        <v>1429</v>
      </c>
      <c r="T100" s="261">
        <v>500</v>
      </c>
    </row>
    <row r="101" spans="5:20" x14ac:dyDescent="0.25">
      <c r="E101" s="157" t="s">
        <v>1428</v>
      </c>
      <c r="F101" s="157">
        <v>12.42</v>
      </c>
      <c r="G101" s="157">
        <v>1.67</v>
      </c>
      <c r="I101" s="157">
        <f>44-F101-G101-M101</f>
        <v>7.8299999999999983</v>
      </c>
      <c r="M101" s="157">
        <v>22.08</v>
      </c>
      <c r="N101" s="157">
        <f>SUM(F101:M101)</f>
        <v>44</v>
      </c>
      <c r="S101" s="256" t="s">
        <v>277</v>
      </c>
      <c r="T101" s="256">
        <v>180</v>
      </c>
    </row>
    <row r="102" spans="5:20" x14ac:dyDescent="0.25">
      <c r="E102" s="157" t="s">
        <v>1427</v>
      </c>
      <c r="F102" s="157">
        <v>1.08</v>
      </c>
      <c r="I102" s="259">
        <f>H88-68.6</f>
        <v>3.7160300000000035</v>
      </c>
      <c r="M102" s="157">
        <v>23.48</v>
      </c>
      <c r="N102" s="157">
        <f>SUM(F102:M102)</f>
        <v>28.276030000000006</v>
      </c>
      <c r="S102" s="256" t="s">
        <v>277</v>
      </c>
      <c r="T102" s="256">
        <v>1350</v>
      </c>
    </row>
    <row r="103" spans="5:20" x14ac:dyDescent="0.25">
      <c r="E103" s="157" t="s">
        <v>1426</v>
      </c>
      <c r="F103" s="251">
        <f>F101+F102</f>
        <v>13.5</v>
      </c>
      <c r="G103" s="157">
        <f>G101+G102</f>
        <v>1.67</v>
      </c>
      <c r="I103" s="157">
        <f>I101+I102</f>
        <v>11.546030000000002</v>
      </c>
      <c r="M103" s="157">
        <f>M101+M102</f>
        <v>45.56</v>
      </c>
      <c r="N103" s="259">
        <f>N101+N102</f>
        <v>72.276030000000006</v>
      </c>
      <c r="S103" s="256" t="s">
        <v>277</v>
      </c>
      <c r="T103" s="256">
        <v>750</v>
      </c>
    </row>
    <row r="104" spans="5:20" x14ac:dyDescent="0.25">
      <c r="E104" s="157" t="s">
        <v>1425</v>
      </c>
      <c r="F104" s="249">
        <f>F103+K100/3</f>
        <v>15.221333333333334</v>
      </c>
      <c r="H104" s="249">
        <f>N103-62.503</f>
        <v>9.7730300000000057</v>
      </c>
      <c r="M104" s="249">
        <f>M103+K100/3</f>
        <v>47.281333333333336</v>
      </c>
      <c r="N104" s="249">
        <f>SUM(F104:M104)</f>
        <v>72.275696666666676</v>
      </c>
      <c r="S104" s="256" t="s">
        <v>277</v>
      </c>
      <c r="T104" s="256">
        <v>180</v>
      </c>
    </row>
    <row r="105" spans="5:20" x14ac:dyDescent="0.25">
      <c r="F105" s="252">
        <f>F104/$N$104</f>
        <v>0.21060099086327264</v>
      </c>
      <c r="H105" s="252">
        <f>M104/$N$104</f>
        <v>0.65418025026300908</v>
      </c>
      <c r="M105" s="260">
        <f>H104/$N$104</f>
        <v>0.13521875887371829</v>
      </c>
      <c r="S105" s="256" t="s">
        <v>273</v>
      </c>
      <c r="T105" s="256">
        <v>1500</v>
      </c>
    </row>
    <row r="106" spans="5:20" x14ac:dyDescent="0.25">
      <c r="E106" s="157" t="s">
        <v>1424</v>
      </c>
      <c r="F106" s="252"/>
      <c r="G106" s="252"/>
      <c r="H106" s="259">
        <v>40.991365439999996</v>
      </c>
      <c r="S106" s="256"/>
      <c r="T106" s="256"/>
    </row>
    <row r="107" spans="5:20" x14ac:dyDescent="0.25">
      <c r="F107" s="252"/>
      <c r="G107" s="252"/>
      <c r="H107" s="252"/>
      <c r="S107" s="256"/>
      <c r="T107" s="256"/>
    </row>
    <row r="108" spans="5:20" x14ac:dyDescent="0.25">
      <c r="E108" s="157" t="s">
        <v>1423</v>
      </c>
      <c r="G108" s="157" t="s">
        <v>147</v>
      </c>
      <c r="H108" s="157">
        <f>ElecBY!F77</f>
        <v>34.200000000000003</v>
      </c>
      <c r="S108" s="256" t="s">
        <v>1419</v>
      </c>
      <c r="T108" s="256">
        <v>65</v>
      </c>
    </row>
    <row r="109" spans="5:20" x14ac:dyDescent="0.25">
      <c r="E109" s="157" t="s">
        <v>1422</v>
      </c>
      <c r="G109" s="258" t="s">
        <v>1421</v>
      </c>
      <c r="H109" s="157">
        <f>G103/H108</f>
        <v>4.8830409356725141E-2</v>
      </c>
      <c r="S109" s="256" t="s">
        <v>1419</v>
      </c>
      <c r="T109" s="256">
        <v>360</v>
      </c>
    </row>
    <row r="110" spans="5:20" x14ac:dyDescent="0.25">
      <c r="E110" s="157" t="s">
        <v>1420</v>
      </c>
      <c r="H110" s="257">
        <f>H104/H108</f>
        <v>0.28576111111111124</v>
      </c>
      <c r="S110" s="256" t="s">
        <v>1419</v>
      </c>
      <c r="T110" s="256">
        <v>240</v>
      </c>
    </row>
    <row r="111" spans="5:20" x14ac:dyDescent="0.25">
      <c r="S111" s="256" t="s">
        <v>271</v>
      </c>
      <c r="T111" s="255">
        <v>1860</v>
      </c>
    </row>
    <row r="113" spans="5:14" x14ac:dyDescent="0.25">
      <c r="E113" s="157" t="s">
        <v>1418</v>
      </c>
    </row>
    <row r="115" spans="5:14" x14ac:dyDescent="0.25">
      <c r="E115" s="254" t="s">
        <v>1417</v>
      </c>
      <c r="F115" s="157" t="s">
        <v>1416</v>
      </c>
    </row>
    <row r="116" spans="5:14" x14ac:dyDescent="0.25">
      <c r="E116" s="157" t="s">
        <v>697</v>
      </c>
      <c r="F116" s="157">
        <v>31.005621000000001</v>
      </c>
    </row>
    <row r="117" spans="5:14" x14ac:dyDescent="0.25">
      <c r="E117" s="157" t="s">
        <v>1415</v>
      </c>
      <c r="F117" s="157">
        <v>0.108553</v>
      </c>
    </row>
    <row r="118" spans="5:14" x14ac:dyDescent="0.25">
      <c r="E118" s="157" t="s">
        <v>1414</v>
      </c>
      <c r="F118" s="157">
        <v>1.1249999999999999E-3</v>
      </c>
    </row>
    <row r="119" spans="5:14" x14ac:dyDescent="0.25">
      <c r="E119" s="157" t="s">
        <v>1413</v>
      </c>
      <c r="F119" s="157">
        <v>3.1538999999999998E-2</v>
      </c>
    </row>
    <row r="120" spans="5:14" x14ac:dyDescent="0.25">
      <c r="E120" s="157" t="s">
        <v>1118</v>
      </c>
      <c r="F120" s="157">
        <v>0.32746700000000001</v>
      </c>
    </row>
    <row r="121" spans="5:14" x14ac:dyDescent="0.25">
      <c r="E121" s="157" t="s">
        <v>1412</v>
      </c>
      <c r="F121" s="157">
        <v>6.1600000000000001E-4</v>
      </c>
    </row>
    <row r="122" spans="5:14" x14ac:dyDescent="0.25">
      <c r="E122" s="157" t="s">
        <v>1411</v>
      </c>
      <c r="F122" s="157">
        <v>1.2408000000000001E-2</v>
      </c>
    </row>
    <row r="123" spans="5:14" x14ac:dyDescent="0.25">
      <c r="E123" s="157" t="s">
        <v>1410</v>
      </c>
      <c r="F123" s="157">
        <v>1.0300000000000001E-3</v>
      </c>
    </row>
    <row r="124" spans="5:14" x14ac:dyDescent="0.25">
      <c r="E124" s="157" t="s">
        <v>115</v>
      </c>
      <c r="F124" s="157">
        <f>SUM(F116:F123)</f>
        <v>31.488358999999999</v>
      </c>
    </row>
    <row r="126" spans="5:14" x14ac:dyDescent="0.25">
      <c r="F126" s="157" t="s">
        <v>1409</v>
      </c>
      <c r="G126" s="157">
        <v>0.6</v>
      </c>
      <c r="I126" s="157">
        <f>1-G126</f>
        <v>0.4</v>
      </c>
    </row>
    <row r="127" spans="5:14" ht="30" customHeight="1" x14ac:dyDescent="0.25">
      <c r="E127" s="253" t="s">
        <v>1408</v>
      </c>
      <c r="F127" s="253" t="s">
        <v>1407</v>
      </c>
      <c r="G127" s="253" t="s">
        <v>1405</v>
      </c>
      <c r="H127" s="253" t="s">
        <v>1406</v>
      </c>
      <c r="I127" s="253" t="s">
        <v>1405</v>
      </c>
      <c r="J127" s="253" t="s">
        <v>1404</v>
      </c>
      <c r="K127" s="253" t="s">
        <v>1403</v>
      </c>
      <c r="L127" s="253" t="s">
        <v>1402</v>
      </c>
      <c r="M127" s="253" t="s">
        <v>1401</v>
      </c>
    </row>
    <row r="128" spans="5:14" x14ac:dyDescent="0.25">
      <c r="E128" s="157" t="s">
        <v>1224</v>
      </c>
      <c r="F128" s="157">
        <f>F116</f>
        <v>31.005621000000001</v>
      </c>
      <c r="G128" s="252">
        <f>F128/$F$134</f>
        <v>0.98466931858849804</v>
      </c>
      <c r="H128" s="157">
        <f>ElecBY!G69</f>
        <v>10.6821</v>
      </c>
      <c r="I128" s="252">
        <f>H128/$H$134</f>
        <v>0.28962751679672039</v>
      </c>
      <c r="J128" s="252">
        <f>I128*$I$126+G128*$G$126</f>
        <v>0.70665259787178702</v>
      </c>
      <c r="K128" s="251">
        <f>J128*$K$134</f>
        <v>33.411477030841922</v>
      </c>
      <c r="L128" s="250">
        <f>K128/H128</f>
        <v>3.1278004353864803</v>
      </c>
      <c r="M128" s="251">
        <f>J128*$M$134</f>
        <v>25.234093168269599</v>
      </c>
      <c r="N128" s="250">
        <f>M128/H128</f>
        <v>2.3622783130910214</v>
      </c>
    </row>
    <row r="129" spans="5:14" x14ac:dyDescent="0.25">
      <c r="E129" s="157" t="s">
        <v>1226</v>
      </c>
      <c r="F129" s="157">
        <f>F117</f>
        <v>0.108553</v>
      </c>
      <c r="G129" s="252">
        <f>F129/$F$134</f>
        <v>3.4474009903151825E-3</v>
      </c>
      <c r="H129" s="157">
        <f>ElecBY!G58</f>
        <v>0.91200000000000003</v>
      </c>
      <c r="I129" s="252">
        <f>H129/$H$134</f>
        <v>2.4727375265032998E-2</v>
      </c>
      <c r="J129" s="252">
        <f>I129*$I$126+G129*$G$126</f>
        <v>1.195939070020231E-2</v>
      </c>
      <c r="K129" s="251">
        <f>J129*$K$134</f>
        <v>0.56545593815983219</v>
      </c>
      <c r="L129" s="250">
        <f>K129/H129</f>
        <v>0.62001747605244761</v>
      </c>
      <c r="M129" s="251">
        <f>J129*$M$134</f>
        <v>0.42706186897709103</v>
      </c>
      <c r="N129" s="250">
        <f>M129/H129</f>
        <v>0.46826959317663486</v>
      </c>
    </row>
    <row r="130" spans="5:14" x14ac:dyDescent="0.25">
      <c r="E130" s="157" t="s">
        <v>1220</v>
      </c>
      <c r="F130" s="157">
        <f>F119+F118+F122</f>
        <v>4.5072000000000001E-2</v>
      </c>
      <c r="G130" s="252">
        <f>F130/$F$134</f>
        <v>1.4313861195497674E-3</v>
      </c>
      <c r="H130" s="157">
        <f>SUM(ElecBY!G60:G68)+ElecBY!G71</f>
        <v>18.776499999999999</v>
      </c>
      <c r="I130" s="252">
        <f>H130/$H$134</f>
        <v>0.5090938176139167</v>
      </c>
      <c r="J130" s="252">
        <f>I130*$I$126+G130*$G$126</f>
        <v>0.20449635871729657</v>
      </c>
      <c r="K130" s="251">
        <f>J130*$K$134</f>
        <v>9.6688605019654048</v>
      </c>
      <c r="L130" s="250">
        <f>K130/H130</f>
        <v>0.51494477149444284</v>
      </c>
      <c r="M130" s="251">
        <f>J130*$M$134</f>
        <v>7.3024286388888493</v>
      </c>
      <c r="N130" s="250">
        <f>M130/H130</f>
        <v>0.38891319675599018</v>
      </c>
    </row>
    <row r="131" spans="5:14" x14ac:dyDescent="0.25">
      <c r="E131" s="157" t="s">
        <v>1225</v>
      </c>
      <c r="F131" s="157">
        <f>F120+F123</f>
        <v>0.32849699999999998</v>
      </c>
      <c r="G131" s="252">
        <f>F131/$F$134</f>
        <v>1.0432331516545526E-2</v>
      </c>
      <c r="H131" s="157">
        <f>ElecBY!G59</f>
        <v>6.0609000000000002</v>
      </c>
      <c r="I131" s="252">
        <f>H131/$H$134</f>
        <v>0.16433130344719135</v>
      </c>
      <c r="J131" s="252">
        <f>I131*$I$126+G131*$G$126</f>
        <v>7.1991920288803857E-2</v>
      </c>
      <c r="K131" s="251">
        <f>J131*$K$134</f>
        <v>3.4038739804816984</v>
      </c>
      <c r="L131" s="250">
        <f>K131/H131</f>
        <v>0.5616119685990032</v>
      </c>
      <c r="M131" s="251">
        <f>J131*$M$134</f>
        <v>2.57078347889966</v>
      </c>
      <c r="N131" s="250">
        <f>M131/H131</f>
        <v>0.42415870232138131</v>
      </c>
    </row>
    <row r="132" spans="5:14" x14ac:dyDescent="0.25">
      <c r="E132" s="157" t="s">
        <v>1223</v>
      </c>
      <c r="F132" s="157">
        <f>F121</f>
        <v>6.1600000000000001E-4</v>
      </c>
      <c r="G132" s="252">
        <f>F132/$F$134</f>
        <v>1.9562785091468246E-5</v>
      </c>
      <c r="H132" s="157">
        <f>ElecBY!G70</f>
        <v>0.45069999999999999</v>
      </c>
      <c r="I132" s="252">
        <f>H132/$H$134</f>
        <v>1.2219986877138565E-2</v>
      </c>
      <c r="J132" s="252">
        <f>I132*$I$126+G132*$G$126</f>
        <v>4.8997324219103074E-3</v>
      </c>
      <c r="K132" s="251">
        <f>J132*$K$134</f>
        <v>0.23166588188448189</v>
      </c>
      <c r="L132" s="250">
        <f>K132/H132</f>
        <v>0.51401349430770338</v>
      </c>
      <c r="M132" s="251">
        <f>J132*$M$134</f>
        <v>0.17496617829813579</v>
      </c>
      <c r="N132" s="250">
        <f>M132/H132</f>
        <v>0.38820984756630972</v>
      </c>
    </row>
    <row r="134" spans="5:14" x14ac:dyDescent="0.25">
      <c r="E134" s="157" t="s">
        <v>115</v>
      </c>
      <c r="F134" s="157">
        <f>SUM(F128:F132)</f>
        <v>31.488359000000003</v>
      </c>
      <c r="H134" s="157">
        <f>SUM(H128:H132)</f>
        <v>36.882199999999997</v>
      </c>
      <c r="K134" s="249">
        <f>M104</f>
        <v>47.281333333333336</v>
      </c>
      <c r="M134" s="249">
        <f>M104-(M101-M100)</f>
        <v>35.709333333333333</v>
      </c>
    </row>
  </sheetData>
  <mergeCells count="2">
    <mergeCell ref="G65:J65"/>
    <mergeCell ref="K65:N65"/>
  </mergeCells>
  <hyperlinks>
    <hyperlink ref="AE64" r:id="rId1" xr:uid="{2E53E411-D689-4A7A-BB64-C2B0D95A7FD6}"/>
    <hyperlink ref="AE68" r:id="rId2" xr:uid="{9F9D7BAB-E83E-4C44-A03F-6030C6DA07EB}"/>
  </hyperlinks>
  <pageMargins left="0.7" right="0.7" top="0.75" bottom="0.75" header="0.3" footer="0.3"/>
  <pageSetup paperSize="9" orientation="portrait" r:id="rId3"/>
  <drawing r:id="rId4"/>
  <legacyDrawing r:id="rId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1FFC1-A060-4AB4-99B1-3866910603FC}">
  <sheetPr codeName="Sheet57">
    <tabColor theme="5"/>
  </sheetPr>
  <dimension ref="A1:EL295"/>
  <sheetViews>
    <sheetView workbookViewId="0"/>
  </sheetViews>
  <sheetFormatPr defaultColWidth="9.140625" defaultRowHeight="15" x14ac:dyDescent="0.25"/>
  <cols>
    <col min="1" max="1" width="13.42578125" style="256" customWidth="1"/>
    <col min="2" max="2" width="9.85546875" style="256" bestFit="1" customWidth="1"/>
    <col min="3" max="3" width="8.42578125" style="256" bestFit="1" customWidth="1"/>
    <col min="4" max="4" width="7.85546875" style="256" bestFit="1" customWidth="1"/>
    <col min="5" max="5" width="9.85546875" style="256" bestFit="1" customWidth="1"/>
    <col min="6" max="6" width="9" style="256" bestFit="1" customWidth="1"/>
    <col min="7" max="7" width="10.28515625" style="256" bestFit="1" customWidth="1"/>
    <col min="8" max="8" width="9" style="256" bestFit="1" customWidth="1"/>
    <col min="9" max="10" width="7.85546875" style="256" bestFit="1" customWidth="1"/>
    <col min="11" max="11" width="6.42578125" style="256" bestFit="1" customWidth="1"/>
    <col min="12" max="12" width="10.28515625" style="256" bestFit="1" customWidth="1"/>
    <col min="13" max="13" width="8.42578125" style="256" bestFit="1" customWidth="1"/>
    <col min="14" max="15" width="9" style="256" bestFit="1" customWidth="1"/>
    <col min="16" max="16" width="7.85546875" style="256" bestFit="1" customWidth="1"/>
    <col min="17" max="17" width="7.42578125" style="256" bestFit="1" customWidth="1"/>
    <col min="18" max="20" width="8.42578125" style="256" bestFit="1" customWidth="1"/>
    <col min="21" max="21" width="9.85546875" style="256" bestFit="1" customWidth="1"/>
    <col min="22" max="23" width="9.42578125" style="256" bestFit="1" customWidth="1"/>
    <col min="24" max="24" width="8.42578125" style="256" bestFit="1" customWidth="1"/>
    <col min="25" max="25" width="9" style="256" bestFit="1" customWidth="1"/>
    <col min="26" max="26" width="8.28515625" style="256" bestFit="1" customWidth="1"/>
    <col min="27" max="27" width="9" style="256" bestFit="1" customWidth="1"/>
    <col min="28" max="28" width="9.85546875" style="256" bestFit="1" customWidth="1"/>
    <col min="29" max="29" width="9.28515625" style="256" bestFit="1" customWidth="1"/>
    <col min="30" max="30" width="9" style="256" bestFit="1" customWidth="1"/>
    <col min="31" max="31" width="8.42578125" style="256" bestFit="1" customWidth="1"/>
    <col min="32" max="33" width="9" style="256" bestFit="1" customWidth="1"/>
    <col min="34" max="34" width="9.85546875" style="256" bestFit="1" customWidth="1"/>
    <col min="35" max="35" width="8.42578125" style="256" bestFit="1" customWidth="1"/>
    <col min="36" max="36" width="8.28515625" style="256" bestFit="1" customWidth="1"/>
    <col min="37" max="37" width="8.42578125" style="256" bestFit="1" customWidth="1"/>
    <col min="38" max="38" width="13.28515625" style="256" customWidth="1"/>
    <col min="39" max="39" width="8.42578125" style="256" bestFit="1" customWidth="1"/>
    <col min="40" max="41" width="10.28515625" style="256" bestFit="1" customWidth="1"/>
    <col min="42" max="42" width="8.42578125" style="256" bestFit="1" customWidth="1"/>
    <col min="43" max="43" width="9" style="256" bestFit="1" customWidth="1"/>
    <col min="44" max="44" width="9.42578125" style="256" bestFit="1" customWidth="1"/>
    <col min="45" max="45" width="9.85546875" style="256" bestFit="1" customWidth="1"/>
    <col min="46" max="46" width="8.42578125" style="256" bestFit="1" customWidth="1"/>
    <col min="47" max="47" width="7.85546875" style="256" bestFit="1" customWidth="1"/>
    <col min="48" max="48" width="9" style="256" bestFit="1" customWidth="1"/>
    <col min="49" max="49" width="7.85546875" style="256" bestFit="1" customWidth="1"/>
    <col min="50" max="50" width="9.85546875" style="256" bestFit="1" customWidth="1"/>
    <col min="51" max="51" width="10.28515625" style="256" bestFit="1" customWidth="1"/>
    <col min="52" max="52" width="9.85546875" style="256" bestFit="1" customWidth="1"/>
    <col min="53" max="54" width="10.28515625" style="256" bestFit="1" customWidth="1"/>
    <col min="55" max="55" width="9.85546875" style="256" bestFit="1" customWidth="1"/>
    <col min="56" max="56" width="8.42578125" style="256" bestFit="1" customWidth="1"/>
    <col min="57" max="57" width="7.85546875" style="256" bestFit="1" customWidth="1"/>
    <col min="58" max="58" width="10.42578125" style="256" bestFit="1" customWidth="1"/>
    <col min="59" max="59" width="11.140625" style="256" bestFit="1" customWidth="1"/>
    <col min="60" max="60" width="10.28515625" style="256" bestFit="1" customWidth="1"/>
    <col min="61" max="61" width="9.42578125" style="256" bestFit="1" customWidth="1"/>
    <col min="62" max="62" width="9" style="256" bestFit="1" customWidth="1"/>
    <col min="63" max="63" width="8.42578125" style="256" bestFit="1" customWidth="1"/>
    <col min="64" max="64" width="6.42578125" style="256" bestFit="1" customWidth="1"/>
    <col min="65" max="65" width="10.28515625" style="256" bestFit="1" customWidth="1"/>
    <col min="66" max="66" width="9.42578125" style="256" bestFit="1" customWidth="1"/>
    <col min="67" max="67" width="9" style="256" bestFit="1" customWidth="1"/>
    <col min="68" max="68" width="9.85546875" style="256" bestFit="1" customWidth="1"/>
    <col min="69" max="69" width="8.42578125" style="256" bestFit="1" customWidth="1"/>
    <col min="70" max="70" width="9" style="256" bestFit="1" customWidth="1"/>
    <col min="71" max="71" width="8.42578125" style="256" bestFit="1" customWidth="1"/>
    <col min="72" max="72" width="9.42578125" style="256" bestFit="1" customWidth="1"/>
    <col min="73" max="73" width="9" style="256" bestFit="1" customWidth="1"/>
    <col min="74" max="74" width="9.85546875" style="256" bestFit="1" customWidth="1"/>
    <col min="75" max="75" width="9.42578125" style="256" bestFit="1" customWidth="1"/>
    <col min="76" max="76" width="8.42578125" style="256" bestFit="1" customWidth="1"/>
    <col min="77" max="77" width="9.85546875" style="256" bestFit="1" customWidth="1"/>
    <col min="78" max="78" width="10.28515625" style="256" bestFit="1" customWidth="1"/>
    <col min="79" max="80" width="9" style="256" bestFit="1" customWidth="1"/>
    <col min="81" max="81" width="8.42578125" style="256" bestFit="1" customWidth="1"/>
    <col min="82" max="82" width="9" style="256" bestFit="1" customWidth="1"/>
    <col min="83" max="83" width="10.28515625" style="256" bestFit="1" customWidth="1"/>
    <col min="84" max="84" width="9.42578125" style="256" bestFit="1" customWidth="1"/>
    <col min="85" max="85" width="9.85546875" style="256" bestFit="1" customWidth="1"/>
    <col min="86" max="86" width="10.28515625" style="256" bestFit="1" customWidth="1"/>
    <col min="87" max="89" width="9.85546875" style="256" bestFit="1" customWidth="1"/>
    <col min="90" max="90" width="8.42578125" style="256" bestFit="1" customWidth="1"/>
    <col min="91" max="92" width="9" style="256" bestFit="1" customWidth="1"/>
    <col min="93" max="93" width="9.85546875" style="256" bestFit="1" customWidth="1"/>
    <col min="94" max="94" width="9" style="256" bestFit="1" customWidth="1"/>
    <col min="95" max="96" width="10.28515625" style="256" bestFit="1" customWidth="1"/>
    <col min="97" max="97" width="9" style="256" bestFit="1" customWidth="1"/>
    <col min="98" max="98" width="9.42578125" style="256" bestFit="1" customWidth="1"/>
    <col min="99" max="99" width="9.85546875" style="256" bestFit="1" customWidth="1"/>
    <col min="100" max="100" width="9" style="256" bestFit="1" customWidth="1"/>
    <col min="101" max="101" width="7.85546875" style="256" bestFit="1" customWidth="1"/>
    <col min="102" max="102" width="9" style="256" bestFit="1" customWidth="1"/>
    <col min="103" max="103" width="9.85546875" style="256" bestFit="1" customWidth="1"/>
    <col min="104" max="104" width="10.28515625" style="256" bestFit="1" customWidth="1"/>
    <col min="105" max="105" width="11.7109375" style="256" bestFit="1" customWidth="1"/>
    <col min="106" max="108" width="10.28515625" style="256" bestFit="1" customWidth="1"/>
    <col min="109" max="109" width="8.42578125" style="256" bestFit="1" customWidth="1"/>
    <col min="110" max="110" width="9.85546875" style="256" bestFit="1" customWidth="1"/>
    <col min="111" max="112" width="10.28515625" style="256" bestFit="1" customWidth="1"/>
    <col min="113" max="113" width="11.7109375" style="256" bestFit="1" customWidth="1"/>
    <col min="114" max="114" width="8.42578125" style="256" bestFit="1" customWidth="1"/>
    <col min="115" max="115" width="11.7109375" style="256" bestFit="1" customWidth="1"/>
    <col min="116" max="116" width="8.42578125" style="256" bestFit="1" customWidth="1"/>
    <col min="117" max="120" width="9" style="256" bestFit="1" customWidth="1"/>
    <col min="121" max="123" width="9.85546875" style="256" bestFit="1" customWidth="1"/>
    <col min="124" max="125" width="10.28515625" style="256" bestFit="1" customWidth="1"/>
    <col min="126" max="127" width="9.85546875" style="256" bestFit="1" customWidth="1"/>
    <col min="128" max="130" width="10.28515625" style="256" bestFit="1" customWidth="1"/>
    <col min="131" max="131" width="11.28515625" style="256" bestFit="1" customWidth="1"/>
    <col min="132" max="132" width="9" style="256" bestFit="1" customWidth="1"/>
    <col min="133" max="133" width="9.85546875" style="256" bestFit="1" customWidth="1"/>
    <col min="134" max="134" width="9" style="256" bestFit="1" customWidth="1"/>
    <col min="135" max="135" width="10.28515625" style="256" bestFit="1" customWidth="1"/>
    <col min="136" max="136" width="5.28515625" style="256" bestFit="1" customWidth="1"/>
    <col min="137" max="137" width="9.85546875" style="256" bestFit="1" customWidth="1"/>
    <col min="138" max="138" width="8.42578125" style="256" bestFit="1" customWidth="1"/>
    <col min="139" max="139" width="9.28515625" style="256" bestFit="1" customWidth="1"/>
    <col min="140" max="140" width="13.28515625" style="256" customWidth="1"/>
    <col min="141" max="141" width="13.28515625" style="256" bestFit="1" customWidth="1"/>
    <col min="142" max="142" width="19.42578125" style="256" bestFit="1" customWidth="1"/>
    <col min="143" max="143" width="13.28515625" style="256" bestFit="1" customWidth="1"/>
    <col min="144" max="146" width="13.7109375" style="256" bestFit="1" customWidth="1"/>
    <col min="147" max="147" width="11.42578125" style="256" bestFit="1" customWidth="1"/>
    <col min="148" max="150" width="9.140625" style="256"/>
    <col min="151" max="151" width="13.7109375" style="256" bestFit="1" customWidth="1"/>
    <col min="152" max="152" width="11.42578125" style="256" bestFit="1" customWidth="1"/>
    <col min="153" max="157" width="9.140625" style="256"/>
    <col min="158" max="158" width="13.42578125" style="256" bestFit="1" customWidth="1"/>
    <col min="159" max="16384" width="9.140625" style="256"/>
  </cols>
  <sheetData>
    <row r="1" spans="1:142" ht="18.75" x14ac:dyDescent="0.3">
      <c r="A1" s="284"/>
    </row>
    <row r="2" spans="1:142" x14ac:dyDescent="0.25">
      <c r="A2" s="283"/>
    </row>
    <row r="4" spans="1:142" x14ac:dyDescent="0.25">
      <c r="B4" s="282"/>
      <c r="C4" s="282"/>
    </row>
    <row r="5" spans="1:142" x14ac:dyDescent="0.25">
      <c r="B5" s="282"/>
      <c r="C5" s="282"/>
    </row>
    <row r="6" spans="1:142" x14ac:dyDescent="0.25">
      <c r="CP6" s="282"/>
      <c r="CQ6" s="282"/>
      <c r="CR6" s="282"/>
      <c r="CS6" s="282"/>
      <c r="CT6" s="282"/>
      <c r="CU6" s="282"/>
      <c r="CV6" s="282"/>
      <c r="CW6" s="282"/>
      <c r="CX6" s="282"/>
      <c r="CY6" s="282"/>
      <c r="CZ6" s="282"/>
      <c r="DA6" s="282"/>
      <c r="DB6" s="282"/>
      <c r="DC6" s="282"/>
    </row>
    <row r="7" spans="1:142" x14ac:dyDescent="0.25">
      <c r="B7" s="279" t="s">
        <v>1653</v>
      </c>
      <c r="C7" s="279" t="s">
        <v>1652</v>
      </c>
      <c r="D7" s="279" t="s">
        <v>1651</v>
      </c>
      <c r="E7" s="279" t="s">
        <v>1650</v>
      </c>
      <c r="F7" s="279" t="s">
        <v>1649</v>
      </c>
      <c r="G7" s="279" t="s">
        <v>1648</v>
      </c>
      <c r="H7" s="279" t="s">
        <v>1647</v>
      </c>
      <c r="I7" s="279" t="s">
        <v>1646</v>
      </c>
      <c r="J7" s="279" t="s">
        <v>1645</v>
      </c>
      <c r="K7" s="279" t="s">
        <v>1644</v>
      </c>
      <c r="L7" s="279" t="s">
        <v>1643</v>
      </c>
      <c r="M7" s="279" t="s">
        <v>1642</v>
      </c>
      <c r="N7" s="279" t="s">
        <v>1641</v>
      </c>
      <c r="O7" s="279" t="s">
        <v>1640</v>
      </c>
      <c r="P7" s="279" t="s">
        <v>1639</v>
      </c>
      <c r="Q7" s="279" t="s">
        <v>1638</v>
      </c>
      <c r="R7" s="279" t="s">
        <v>1637</v>
      </c>
      <c r="S7" s="279" t="s">
        <v>1636</v>
      </c>
      <c r="T7" s="279" t="s">
        <v>1635</v>
      </c>
      <c r="U7" s="279" t="s">
        <v>1634</v>
      </c>
      <c r="V7" s="279" t="s">
        <v>1633</v>
      </c>
      <c r="W7" s="279" t="s">
        <v>1632</v>
      </c>
      <c r="X7" s="279" t="s">
        <v>1631</v>
      </c>
      <c r="Y7" s="279" t="s">
        <v>1630</v>
      </c>
      <c r="Z7" s="279" t="s">
        <v>1629</v>
      </c>
      <c r="AA7" s="279" t="s">
        <v>1628</v>
      </c>
      <c r="AB7" s="279" t="s">
        <v>1627</v>
      </c>
      <c r="AC7" s="279" t="s">
        <v>1626</v>
      </c>
      <c r="AD7" s="279" t="s">
        <v>1625</v>
      </c>
      <c r="AE7" s="279" t="s">
        <v>1624</v>
      </c>
      <c r="AF7" s="279" t="s">
        <v>1623</v>
      </c>
      <c r="AG7" s="279" t="s">
        <v>1622</v>
      </c>
      <c r="AH7" s="279" t="s">
        <v>1621</v>
      </c>
      <c r="AI7" s="279" t="s">
        <v>1620</v>
      </c>
      <c r="AJ7" s="279" t="s">
        <v>1619</v>
      </c>
      <c r="AK7" s="279" t="s">
        <v>1618</v>
      </c>
      <c r="AL7" s="279" t="s">
        <v>1617</v>
      </c>
      <c r="AM7" s="279" t="s">
        <v>1616</v>
      </c>
      <c r="AN7" s="279" t="s">
        <v>1615</v>
      </c>
      <c r="AO7" s="279" t="s">
        <v>1614</v>
      </c>
      <c r="AP7" s="279" t="s">
        <v>1613</v>
      </c>
      <c r="AQ7" s="279" t="s">
        <v>1612</v>
      </c>
      <c r="AR7" s="279" t="s">
        <v>1611</v>
      </c>
      <c r="AS7" s="279" t="s">
        <v>1610</v>
      </c>
      <c r="AT7" s="279" t="s">
        <v>1609</v>
      </c>
      <c r="AU7" s="279" t="s">
        <v>1608</v>
      </c>
      <c r="AV7" s="279" t="s">
        <v>1607</v>
      </c>
      <c r="AW7" s="279" t="s">
        <v>1606</v>
      </c>
      <c r="AX7" s="279" t="s">
        <v>1605</v>
      </c>
      <c r="AY7" s="279" t="s">
        <v>1604</v>
      </c>
      <c r="AZ7" s="279" t="s">
        <v>1603</v>
      </c>
      <c r="BA7" s="279" t="s">
        <v>1602</v>
      </c>
      <c r="BB7" s="279" t="s">
        <v>1601</v>
      </c>
      <c r="BC7" s="279" t="s">
        <v>1600</v>
      </c>
      <c r="BD7" s="279" t="s">
        <v>1599</v>
      </c>
      <c r="BE7" s="279" t="s">
        <v>1598</v>
      </c>
      <c r="BF7" s="279" t="s">
        <v>1597</v>
      </c>
      <c r="BG7" s="279" t="s">
        <v>1596</v>
      </c>
      <c r="BH7" s="279" t="s">
        <v>1595</v>
      </c>
      <c r="BI7" s="279" t="s">
        <v>1594</v>
      </c>
      <c r="BJ7" s="279" t="s">
        <v>1593</v>
      </c>
      <c r="BK7" s="279" t="s">
        <v>1592</v>
      </c>
      <c r="BL7" s="279" t="s">
        <v>1591</v>
      </c>
      <c r="BM7" s="279" t="s">
        <v>1590</v>
      </c>
      <c r="BN7" s="279" t="s">
        <v>1589</v>
      </c>
      <c r="BO7" s="279" t="s">
        <v>1588</v>
      </c>
      <c r="BP7" s="279" t="s">
        <v>1587</v>
      </c>
      <c r="BQ7" s="279" t="s">
        <v>1586</v>
      </c>
      <c r="BR7" s="279" t="s">
        <v>1585</v>
      </c>
      <c r="BS7" s="279" t="s">
        <v>1584</v>
      </c>
      <c r="BT7" s="279" t="s">
        <v>1583</v>
      </c>
      <c r="BU7" s="279" t="s">
        <v>1582</v>
      </c>
      <c r="BV7" s="279" t="s">
        <v>1581</v>
      </c>
      <c r="BW7" s="279" t="s">
        <v>1580</v>
      </c>
      <c r="BX7" s="279" t="s">
        <v>1579</v>
      </c>
      <c r="BY7" s="279" t="s">
        <v>1578</v>
      </c>
      <c r="BZ7" s="279" t="s">
        <v>1577</v>
      </c>
      <c r="CA7" s="279" t="s">
        <v>1576</v>
      </c>
      <c r="CB7" s="279" t="s">
        <v>1575</v>
      </c>
      <c r="CC7" s="279" t="s">
        <v>1574</v>
      </c>
      <c r="CD7" s="279" t="s">
        <v>1573</v>
      </c>
      <c r="CE7" s="279" t="s">
        <v>1572</v>
      </c>
      <c r="CF7" s="279" t="s">
        <v>1571</v>
      </c>
      <c r="CG7" s="279" t="s">
        <v>1570</v>
      </c>
      <c r="CH7" s="279" t="s">
        <v>1569</v>
      </c>
      <c r="CI7" s="279" t="s">
        <v>1568</v>
      </c>
      <c r="CJ7" s="279" t="s">
        <v>1567</v>
      </c>
      <c r="CK7" s="279" t="s">
        <v>1566</v>
      </c>
      <c r="CL7" s="279" t="s">
        <v>1565</v>
      </c>
      <c r="CM7" s="279" t="s">
        <v>1564</v>
      </c>
      <c r="CN7" s="279" t="s">
        <v>1563</v>
      </c>
      <c r="CO7" s="279" t="s">
        <v>1562</v>
      </c>
      <c r="CP7" s="279" t="s">
        <v>1561</v>
      </c>
      <c r="CQ7" s="279" t="s">
        <v>1560</v>
      </c>
      <c r="CR7" s="279" t="s">
        <v>1559</v>
      </c>
      <c r="CS7" s="279" t="s">
        <v>1558</v>
      </c>
      <c r="CT7" s="279" t="s">
        <v>1557</v>
      </c>
      <c r="CU7" s="279" t="s">
        <v>1556</v>
      </c>
      <c r="CV7" s="279" t="s">
        <v>1555</v>
      </c>
      <c r="CW7" s="279" t="s">
        <v>1554</v>
      </c>
      <c r="CX7" s="279" t="s">
        <v>1553</v>
      </c>
      <c r="CY7" s="279" t="s">
        <v>1552</v>
      </c>
      <c r="CZ7" s="279" t="s">
        <v>1551</v>
      </c>
      <c r="DA7" s="279" t="s">
        <v>1550</v>
      </c>
      <c r="DB7" s="279" t="s">
        <v>1549</v>
      </c>
      <c r="DC7" s="279" t="s">
        <v>1548</v>
      </c>
      <c r="DD7" s="279" t="s">
        <v>1454</v>
      </c>
      <c r="DE7" s="279" t="s">
        <v>1453</v>
      </c>
      <c r="DF7" s="279" t="s">
        <v>1452</v>
      </c>
      <c r="DG7" s="279" t="s">
        <v>1451</v>
      </c>
      <c r="DH7" s="279" t="s">
        <v>1547</v>
      </c>
      <c r="DI7" s="279" t="s">
        <v>1546</v>
      </c>
      <c r="DJ7" s="279" t="s">
        <v>1545</v>
      </c>
      <c r="DK7" s="279" t="s">
        <v>1544</v>
      </c>
      <c r="DL7" s="279" t="s">
        <v>1543</v>
      </c>
      <c r="DM7" s="279" t="s">
        <v>1542</v>
      </c>
      <c r="DN7" s="279" t="s">
        <v>1541</v>
      </c>
      <c r="DO7" s="279" t="s">
        <v>1540</v>
      </c>
      <c r="DP7" s="279" t="s">
        <v>1539</v>
      </c>
      <c r="DQ7" s="279" t="s">
        <v>1538</v>
      </c>
      <c r="DR7" s="279" t="s">
        <v>1537</v>
      </c>
      <c r="DS7" s="279" t="s">
        <v>1536</v>
      </c>
      <c r="DT7" s="279" t="s">
        <v>1535</v>
      </c>
      <c r="DU7" s="279" t="s">
        <v>1534</v>
      </c>
      <c r="DV7" s="279" t="s">
        <v>1533</v>
      </c>
      <c r="DW7" s="279" t="s">
        <v>1532</v>
      </c>
      <c r="DX7" s="279" t="s">
        <v>1531</v>
      </c>
      <c r="DY7" s="279" t="s">
        <v>1530</v>
      </c>
      <c r="DZ7" s="279" t="s">
        <v>1529</v>
      </c>
      <c r="EA7" s="279" t="s">
        <v>1528</v>
      </c>
      <c r="EB7" s="279" t="s">
        <v>1527</v>
      </c>
      <c r="EC7" s="279" t="s">
        <v>1526</v>
      </c>
      <c r="ED7" s="279" t="s">
        <v>1525</v>
      </c>
      <c r="EE7" s="279" t="s">
        <v>1524</v>
      </c>
      <c r="EF7" s="279" t="s">
        <v>1523</v>
      </c>
      <c r="EG7" s="279" t="s">
        <v>1522</v>
      </c>
      <c r="EH7" s="279" t="s">
        <v>1521</v>
      </c>
      <c r="EI7" s="279" t="s">
        <v>1520</v>
      </c>
      <c r="EJ7" s="279" t="s">
        <v>1519</v>
      </c>
      <c r="EK7" s="279" t="s">
        <v>1518</v>
      </c>
      <c r="EL7" s="279" t="s">
        <v>1517</v>
      </c>
    </row>
    <row r="8" spans="1:142" x14ac:dyDescent="0.25">
      <c r="A8" s="279" t="s">
        <v>1653</v>
      </c>
      <c r="B8" s="281"/>
      <c r="C8" s="281"/>
      <c r="D8" s="281"/>
      <c r="E8" s="281"/>
      <c r="F8" s="281"/>
      <c r="G8" s="281"/>
      <c r="H8" s="281"/>
      <c r="I8" s="281"/>
      <c r="J8" s="281"/>
      <c r="K8" s="281"/>
      <c r="L8" s="281"/>
      <c r="M8" s="281"/>
      <c r="N8" s="281"/>
      <c r="O8" s="281"/>
      <c r="P8" s="281"/>
      <c r="Q8" s="281"/>
      <c r="R8" s="281"/>
      <c r="S8" s="281"/>
      <c r="T8" s="281"/>
      <c r="U8" s="281"/>
      <c r="V8" s="281"/>
      <c r="W8" s="281"/>
      <c r="X8" s="281"/>
      <c r="Y8" s="281"/>
      <c r="Z8" s="281"/>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v>158068.43043290664</v>
      </c>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v>158068.43043290664</v>
      </c>
    </row>
    <row r="9" spans="1:142" x14ac:dyDescent="0.25">
      <c r="A9" s="279" t="s">
        <v>1652</v>
      </c>
      <c r="B9" s="281"/>
      <c r="C9" s="281"/>
      <c r="D9" s="281"/>
      <c r="E9" s="281"/>
      <c r="F9" s="281"/>
      <c r="G9" s="281"/>
      <c r="H9" s="281"/>
      <c r="I9" s="281"/>
      <c r="J9" s="281"/>
      <c r="K9" s="281"/>
      <c r="L9" s="281"/>
      <c r="M9" s="281"/>
      <c r="N9" s="281"/>
      <c r="O9" s="281"/>
      <c r="P9" s="281"/>
      <c r="Q9" s="281"/>
      <c r="R9" s="281"/>
      <c r="S9" s="281"/>
      <c r="T9" s="281"/>
      <c r="U9" s="281"/>
      <c r="V9" s="281"/>
      <c r="W9" s="281"/>
      <c r="X9" s="281"/>
      <c r="Y9" s="281"/>
      <c r="Z9" s="281"/>
      <c r="AA9" s="281"/>
      <c r="AB9" s="281"/>
      <c r="AC9" s="281"/>
      <c r="AD9" s="281"/>
      <c r="AE9" s="281"/>
      <c r="AF9" s="281"/>
      <c r="AG9" s="281"/>
      <c r="AH9" s="281"/>
      <c r="AI9" s="281"/>
      <c r="AJ9" s="281"/>
      <c r="AK9" s="281"/>
      <c r="AL9" s="281"/>
      <c r="AM9" s="281"/>
      <c r="AN9" s="281"/>
      <c r="AO9" s="281"/>
      <c r="AP9" s="281"/>
      <c r="AQ9" s="281"/>
      <c r="AR9" s="281"/>
      <c r="AS9" s="281"/>
      <c r="AT9" s="281"/>
      <c r="AU9" s="281"/>
      <c r="AV9" s="281"/>
      <c r="AW9" s="281"/>
      <c r="AX9" s="281"/>
      <c r="AY9" s="281"/>
      <c r="AZ9" s="281"/>
      <c r="BA9" s="281"/>
      <c r="BB9" s="281">
        <v>17544.364776202459</v>
      </c>
      <c r="BC9" s="281"/>
      <c r="BD9" s="281"/>
      <c r="BE9" s="281"/>
      <c r="BF9" s="281"/>
      <c r="BG9" s="281"/>
      <c r="BH9" s="281"/>
      <c r="BI9" s="281"/>
      <c r="BJ9" s="281"/>
      <c r="BK9" s="281"/>
      <c r="BL9" s="281"/>
      <c r="BM9" s="281"/>
      <c r="BN9" s="281"/>
      <c r="BO9" s="281"/>
      <c r="BP9" s="281"/>
      <c r="BQ9" s="281"/>
      <c r="BR9" s="281"/>
      <c r="BS9" s="281"/>
      <c r="BT9" s="281"/>
      <c r="BU9" s="281"/>
      <c r="BV9" s="281"/>
      <c r="BW9" s="281"/>
      <c r="BX9" s="281"/>
      <c r="BY9" s="281"/>
      <c r="BZ9" s="281"/>
      <c r="CA9" s="281"/>
      <c r="CB9" s="281"/>
      <c r="CC9" s="281"/>
      <c r="CD9" s="281"/>
      <c r="CE9" s="281"/>
      <c r="CF9" s="281"/>
      <c r="CG9" s="281"/>
      <c r="CH9" s="281"/>
      <c r="CI9" s="281"/>
      <c r="CJ9" s="281"/>
      <c r="CK9" s="281"/>
      <c r="CL9" s="281"/>
      <c r="CM9" s="281"/>
      <c r="CN9" s="281"/>
      <c r="CO9" s="281"/>
      <c r="CP9" s="281"/>
      <c r="CQ9" s="281"/>
      <c r="CR9" s="281"/>
      <c r="CS9" s="281"/>
      <c r="CT9" s="281"/>
      <c r="CU9" s="281"/>
      <c r="CV9" s="281"/>
      <c r="CW9" s="281"/>
      <c r="CX9" s="281"/>
      <c r="CY9" s="281"/>
      <c r="CZ9" s="281"/>
      <c r="DA9" s="281"/>
      <c r="DB9" s="281"/>
      <c r="DC9" s="281"/>
      <c r="DD9" s="281"/>
      <c r="DE9" s="281"/>
      <c r="DF9" s="281"/>
      <c r="DG9" s="281"/>
      <c r="DH9" s="281"/>
      <c r="DI9" s="281"/>
      <c r="DJ9" s="281"/>
      <c r="DK9" s="281"/>
      <c r="DL9" s="281"/>
      <c r="DM9" s="281"/>
      <c r="DN9" s="281"/>
      <c r="DO9" s="281"/>
      <c r="DP9" s="281"/>
      <c r="DQ9" s="281"/>
      <c r="DR9" s="281"/>
      <c r="DS9" s="281"/>
      <c r="DT9" s="281"/>
      <c r="DU9" s="281"/>
      <c r="DV9" s="281"/>
      <c r="DW9" s="281"/>
      <c r="DX9" s="281"/>
      <c r="DY9" s="281"/>
      <c r="DZ9" s="281"/>
      <c r="EA9" s="281"/>
      <c r="EB9" s="281"/>
      <c r="EC9" s="281"/>
      <c r="ED9" s="281"/>
      <c r="EE9" s="281"/>
      <c r="EF9" s="281"/>
      <c r="EG9" s="281"/>
      <c r="EH9" s="281"/>
      <c r="EI9" s="281"/>
      <c r="EJ9" s="281"/>
      <c r="EK9" s="281"/>
      <c r="EL9" s="281">
        <v>17544.364776202459</v>
      </c>
    </row>
    <row r="10" spans="1:142" x14ac:dyDescent="0.25">
      <c r="A10" s="279" t="s">
        <v>1651</v>
      </c>
      <c r="B10" s="281"/>
      <c r="C10" s="281"/>
      <c r="D10" s="281"/>
      <c r="E10" s="281"/>
      <c r="F10" s="281"/>
      <c r="G10" s="281"/>
      <c r="H10" s="281"/>
      <c r="I10" s="281"/>
      <c r="J10" s="281"/>
      <c r="K10" s="281"/>
      <c r="L10" s="281"/>
      <c r="M10" s="281"/>
      <c r="N10" s="281"/>
      <c r="O10" s="281"/>
      <c r="P10" s="281"/>
      <c r="Q10" s="281"/>
      <c r="R10" s="281"/>
      <c r="S10" s="281"/>
      <c r="T10" s="281"/>
      <c r="U10" s="281"/>
      <c r="V10" s="281"/>
      <c r="W10" s="281"/>
      <c r="X10" s="281"/>
      <c r="Y10" s="281"/>
      <c r="Z10" s="281"/>
      <c r="AA10" s="281"/>
      <c r="AB10" s="281"/>
      <c r="AC10" s="281"/>
      <c r="AD10" s="281"/>
      <c r="AE10" s="281"/>
      <c r="AF10" s="281"/>
      <c r="AG10" s="281"/>
      <c r="AH10" s="281"/>
      <c r="AI10" s="281"/>
      <c r="AJ10" s="281"/>
      <c r="AK10" s="281"/>
      <c r="AL10" s="281"/>
      <c r="AM10" s="281"/>
      <c r="AN10" s="281"/>
      <c r="AO10" s="281"/>
      <c r="AP10" s="281"/>
      <c r="AQ10" s="281"/>
      <c r="AR10" s="281"/>
      <c r="AS10" s="281"/>
      <c r="AT10" s="281"/>
      <c r="AU10" s="281"/>
      <c r="AV10" s="281"/>
      <c r="AW10" s="281"/>
      <c r="AX10" s="281"/>
      <c r="AY10" s="281"/>
      <c r="AZ10" s="281"/>
      <c r="BA10" s="281"/>
      <c r="BB10" s="281"/>
      <c r="BC10" s="281">
        <v>4528.0377111453763</v>
      </c>
      <c r="BD10" s="281"/>
      <c r="BE10" s="281"/>
      <c r="BF10" s="281"/>
      <c r="BG10" s="281"/>
      <c r="BH10" s="281"/>
      <c r="BI10" s="281"/>
      <c r="BJ10" s="281"/>
      <c r="BK10" s="281"/>
      <c r="BL10" s="281"/>
      <c r="BM10" s="281"/>
      <c r="BN10" s="281"/>
      <c r="BO10" s="281"/>
      <c r="BP10" s="281"/>
      <c r="BQ10" s="281"/>
      <c r="BR10" s="281"/>
      <c r="BS10" s="281"/>
      <c r="BT10" s="281"/>
      <c r="BU10" s="281"/>
      <c r="BV10" s="281"/>
      <c r="BW10" s="281"/>
      <c r="BX10" s="281"/>
      <c r="BY10" s="281"/>
      <c r="BZ10" s="281"/>
      <c r="CA10" s="281"/>
      <c r="CB10" s="281"/>
      <c r="CC10" s="281"/>
      <c r="CD10" s="281"/>
      <c r="CE10" s="281"/>
      <c r="CF10" s="281"/>
      <c r="CG10" s="281"/>
      <c r="CH10" s="281"/>
      <c r="CI10" s="281"/>
      <c r="CJ10" s="281"/>
      <c r="CK10" s="281"/>
      <c r="CL10" s="281"/>
      <c r="CM10" s="281"/>
      <c r="CN10" s="281"/>
      <c r="CO10" s="281"/>
      <c r="CP10" s="281"/>
      <c r="CQ10" s="281"/>
      <c r="CR10" s="281"/>
      <c r="CS10" s="281"/>
      <c r="CT10" s="281"/>
      <c r="CU10" s="281"/>
      <c r="CV10" s="281"/>
      <c r="CW10" s="281"/>
      <c r="CX10" s="281"/>
      <c r="CY10" s="281"/>
      <c r="CZ10" s="281"/>
      <c r="DA10" s="281"/>
      <c r="DB10" s="281"/>
      <c r="DC10" s="281"/>
      <c r="DD10" s="281"/>
      <c r="DE10" s="281"/>
      <c r="DF10" s="281"/>
      <c r="DG10" s="281"/>
      <c r="DH10" s="281"/>
      <c r="DI10" s="281"/>
      <c r="DJ10" s="281"/>
      <c r="DK10" s="281"/>
      <c r="DL10" s="281"/>
      <c r="DM10" s="281"/>
      <c r="DN10" s="281"/>
      <c r="DO10" s="281"/>
      <c r="DP10" s="281"/>
      <c r="DQ10" s="281"/>
      <c r="DR10" s="281"/>
      <c r="DS10" s="281"/>
      <c r="DT10" s="281"/>
      <c r="DU10" s="281"/>
      <c r="DV10" s="281"/>
      <c r="DW10" s="281"/>
      <c r="DX10" s="281"/>
      <c r="DY10" s="281"/>
      <c r="DZ10" s="281"/>
      <c r="EA10" s="281"/>
      <c r="EB10" s="281"/>
      <c r="EC10" s="281"/>
      <c r="ED10" s="281"/>
      <c r="EE10" s="281"/>
      <c r="EF10" s="281"/>
      <c r="EG10" s="281"/>
      <c r="EH10" s="281"/>
      <c r="EI10" s="281"/>
      <c r="EJ10" s="281"/>
      <c r="EK10" s="281"/>
      <c r="EL10" s="281">
        <v>4528.0377111453763</v>
      </c>
    </row>
    <row r="11" spans="1:142" x14ac:dyDescent="0.25">
      <c r="A11" s="279" t="s">
        <v>1650</v>
      </c>
      <c r="B11" s="281"/>
      <c r="C11" s="281"/>
      <c r="D11" s="281"/>
      <c r="E11" s="281"/>
      <c r="F11" s="281"/>
      <c r="G11" s="281"/>
      <c r="H11" s="281"/>
      <c r="I11" s="281"/>
      <c r="J11" s="281"/>
      <c r="K11" s="281"/>
      <c r="L11" s="281"/>
      <c r="M11" s="281"/>
      <c r="N11" s="281"/>
      <c r="O11" s="281"/>
      <c r="P11" s="281"/>
      <c r="Q11" s="281"/>
      <c r="R11" s="281"/>
      <c r="S11" s="281"/>
      <c r="T11" s="281"/>
      <c r="U11" s="281"/>
      <c r="V11" s="281"/>
      <c r="W11" s="281"/>
      <c r="X11" s="281"/>
      <c r="Y11" s="281"/>
      <c r="Z11" s="281"/>
      <c r="AA11" s="281"/>
      <c r="AB11" s="281"/>
      <c r="AC11" s="281"/>
      <c r="AD11" s="281"/>
      <c r="AE11" s="281"/>
      <c r="AF11" s="281"/>
      <c r="AG11" s="281"/>
      <c r="AH11" s="281"/>
      <c r="AI11" s="281"/>
      <c r="AJ11" s="281"/>
      <c r="AK11" s="281"/>
      <c r="AL11" s="281"/>
      <c r="AM11" s="281"/>
      <c r="AN11" s="281"/>
      <c r="AO11" s="281"/>
      <c r="AP11" s="281"/>
      <c r="AQ11" s="281"/>
      <c r="AR11" s="281"/>
      <c r="AS11" s="281"/>
      <c r="AT11" s="281"/>
      <c r="AU11" s="281"/>
      <c r="AV11" s="281"/>
      <c r="AW11" s="281"/>
      <c r="AX11" s="281"/>
      <c r="AY11" s="281"/>
      <c r="AZ11" s="281"/>
      <c r="BA11" s="281"/>
      <c r="BB11" s="281"/>
      <c r="BC11" s="281"/>
      <c r="BD11" s="281">
        <v>37700.014475462362</v>
      </c>
      <c r="BE11" s="281">
        <v>54595.815560556279</v>
      </c>
      <c r="BF11" s="281">
        <v>6800.5680544358711</v>
      </c>
      <c r="BG11" s="281">
        <v>8328.3631604019756</v>
      </c>
      <c r="BH11" s="281"/>
      <c r="BI11" s="281"/>
      <c r="BJ11" s="281"/>
      <c r="BK11" s="281"/>
      <c r="BL11" s="281"/>
      <c r="BM11" s="281"/>
      <c r="BN11" s="281"/>
      <c r="BO11" s="281"/>
      <c r="BP11" s="281"/>
      <c r="BQ11" s="281"/>
      <c r="BR11" s="281"/>
      <c r="BS11" s="281"/>
      <c r="BT11" s="281"/>
      <c r="BU11" s="281"/>
      <c r="BV11" s="281"/>
      <c r="BW11" s="281"/>
      <c r="BX11" s="281"/>
      <c r="BY11" s="281"/>
      <c r="BZ11" s="281"/>
      <c r="CA11" s="281"/>
      <c r="CB11" s="281"/>
      <c r="CC11" s="281"/>
      <c r="CD11" s="281"/>
      <c r="CE11" s="281"/>
      <c r="CF11" s="281"/>
      <c r="CG11" s="281"/>
      <c r="CH11" s="281"/>
      <c r="CI11" s="281"/>
      <c r="CJ11" s="281"/>
      <c r="CK11" s="281"/>
      <c r="CL11" s="281"/>
      <c r="CM11" s="281"/>
      <c r="CN11" s="281"/>
      <c r="CO11" s="281"/>
      <c r="CP11" s="281"/>
      <c r="CQ11" s="281"/>
      <c r="CR11" s="281"/>
      <c r="CS11" s="281"/>
      <c r="CT11" s="281"/>
      <c r="CU11" s="281"/>
      <c r="CV11" s="281"/>
      <c r="CW11" s="281"/>
      <c r="CX11" s="281"/>
      <c r="CY11" s="281"/>
      <c r="CZ11" s="281"/>
      <c r="DA11" s="281"/>
      <c r="DB11" s="281"/>
      <c r="DC11" s="281"/>
      <c r="DD11" s="281"/>
      <c r="DE11" s="281"/>
      <c r="DF11" s="281"/>
      <c r="DG11" s="281"/>
      <c r="DH11" s="281"/>
      <c r="DI11" s="281"/>
      <c r="DJ11" s="281"/>
      <c r="DK11" s="281"/>
      <c r="DL11" s="281"/>
      <c r="DM11" s="281"/>
      <c r="DN11" s="281"/>
      <c r="DO11" s="281"/>
      <c r="DP11" s="281"/>
      <c r="DQ11" s="281"/>
      <c r="DR11" s="281"/>
      <c r="DS11" s="281"/>
      <c r="DT11" s="281"/>
      <c r="DU11" s="281"/>
      <c r="DV11" s="281"/>
      <c r="DW11" s="281"/>
      <c r="DX11" s="281"/>
      <c r="DY11" s="281"/>
      <c r="DZ11" s="281"/>
      <c r="EA11" s="281"/>
      <c r="EB11" s="281"/>
      <c r="EC11" s="281"/>
      <c r="ED11" s="281"/>
      <c r="EE11" s="281"/>
      <c r="EF11" s="281"/>
      <c r="EG11" s="281"/>
      <c r="EH11" s="281"/>
      <c r="EI11" s="281"/>
      <c r="EJ11" s="281"/>
      <c r="EK11" s="281"/>
      <c r="EL11" s="281">
        <v>107424.76125085649</v>
      </c>
    </row>
    <row r="12" spans="1:142" x14ac:dyDescent="0.25">
      <c r="A12" s="279" t="s">
        <v>1649</v>
      </c>
      <c r="B12" s="281"/>
      <c r="C12" s="281"/>
      <c r="D12" s="281"/>
      <c r="E12" s="281"/>
      <c r="F12" s="281"/>
      <c r="G12" s="281"/>
      <c r="H12" s="281"/>
      <c r="I12" s="281"/>
      <c r="J12" s="281"/>
      <c r="K12" s="281"/>
      <c r="L12" s="281"/>
      <c r="M12" s="281"/>
      <c r="N12" s="281"/>
      <c r="O12" s="281"/>
      <c r="P12" s="281"/>
      <c r="Q12" s="281"/>
      <c r="R12" s="281"/>
      <c r="S12" s="281"/>
      <c r="T12" s="281"/>
      <c r="U12" s="281"/>
      <c r="V12" s="281"/>
      <c r="W12" s="281"/>
      <c r="X12" s="281"/>
      <c r="Y12" s="281"/>
      <c r="Z12" s="281"/>
      <c r="AA12" s="281"/>
      <c r="AB12" s="281"/>
      <c r="AC12" s="281"/>
      <c r="AD12" s="281"/>
      <c r="AE12" s="281"/>
      <c r="AF12" s="281"/>
      <c r="AG12" s="281"/>
      <c r="AH12" s="281"/>
      <c r="AI12" s="281"/>
      <c r="AJ12" s="281"/>
      <c r="AK12" s="281"/>
      <c r="AL12" s="281"/>
      <c r="AM12" s="281"/>
      <c r="AN12" s="281"/>
      <c r="AO12" s="281"/>
      <c r="AP12" s="281"/>
      <c r="AQ12" s="281"/>
      <c r="AR12" s="281"/>
      <c r="AS12" s="281"/>
      <c r="AT12" s="281"/>
      <c r="AU12" s="281"/>
      <c r="AV12" s="281"/>
      <c r="AW12" s="281"/>
      <c r="AX12" s="281"/>
      <c r="AY12" s="281"/>
      <c r="AZ12" s="281"/>
      <c r="BA12" s="281"/>
      <c r="BB12" s="281"/>
      <c r="BC12" s="281"/>
      <c r="BD12" s="281"/>
      <c r="BE12" s="281"/>
      <c r="BF12" s="281">
        <v>75527.985544643932</v>
      </c>
      <c r="BG12" s="281">
        <v>5328.4482342927813</v>
      </c>
      <c r="BH12" s="281"/>
      <c r="BI12" s="281"/>
      <c r="BJ12" s="281"/>
      <c r="BK12" s="281"/>
      <c r="BL12" s="281"/>
      <c r="BM12" s="281"/>
      <c r="BN12" s="281"/>
      <c r="BO12" s="281"/>
      <c r="BP12" s="281"/>
      <c r="BQ12" s="281"/>
      <c r="BR12" s="281"/>
      <c r="BS12" s="281"/>
      <c r="BT12" s="281"/>
      <c r="BU12" s="281"/>
      <c r="BV12" s="281"/>
      <c r="BW12" s="281"/>
      <c r="BX12" s="281"/>
      <c r="BY12" s="281"/>
      <c r="BZ12" s="281"/>
      <c r="CA12" s="281"/>
      <c r="CB12" s="281"/>
      <c r="CC12" s="281"/>
      <c r="CD12" s="281"/>
      <c r="CE12" s="281"/>
      <c r="CF12" s="281"/>
      <c r="CG12" s="281"/>
      <c r="CH12" s="281"/>
      <c r="CI12" s="281"/>
      <c r="CJ12" s="281"/>
      <c r="CK12" s="281"/>
      <c r="CL12" s="281"/>
      <c r="CM12" s="281"/>
      <c r="CN12" s="281"/>
      <c r="CO12" s="281"/>
      <c r="CP12" s="281"/>
      <c r="CQ12" s="281"/>
      <c r="CR12" s="281"/>
      <c r="CS12" s="281"/>
      <c r="CT12" s="281"/>
      <c r="CU12" s="281"/>
      <c r="CV12" s="281"/>
      <c r="CW12" s="281"/>
      <c r="CX12" s="281"/>
      <c r="CY12" s="281"/>
      <c r="CZ12" s="281"/>
      <c r="DA12" s="281"/>
      <c r="DB12" s="281"/>
      <c r="DC12" s="281"/>
      <c r="DD12" s="281"/>
      <c r="DE12" s="281"/>
      <c r="DF12" s="281"/>
      <c r="DG12" s="281"/>
      <c r="DH12" s="281"/>
      <c r="DI12" s="281"/>
      <c r="DJ12" s="281"/>
      <c r="DK12" s="281"/>
      <c r="DL12" s="281"/>
      <c r="DM12" s="281"/>
      <c r="DN12" s="281"/>
      <c r="DO12" s="281"/>
      <c r="DP12" s="281"/>
      <c r="DQ12" s="281"/>
      <c r="DR12" s="281"/>
      <c r="DS12" s="281"/>
      <c r="DT12" s="281"/>
      <c r="DU12" s="281"/>
      <c r="DV12" s="281"/>
      <c r="DW12" s="281"/>
      <c r="DX12" s="281"/>
      <c r="DY12" s="281"/>
      <c r="DZ12" s="281"/>
      <c r="EA12" s="281"/>
      <c r="EB12" s="281"/>
      <c r="EC12" s="281"/>
      <c r="ED12" s="281"/>
      <c r="EE12" s="281"/>
      <c r="EF12" s="281"/>
      <c r="EG12" s="281"/>
      <c r="EH12" s="281"/>
      <c r="EI12" s="281"/>
      <c r="EJ12" s="281"/>
      <c r="EK12" s="281"/>
      <c r="EL12" s="281">
        <v>80856.433778936713</v>
      </c>
    </row>
    <row r="13" spans="1:142" x14ac:dyDescent="0.25">
      <c r="A13" s="279" t="s">
        <v>1648</v>
      </c>
      <c r="B13" s="281"/>
      <c r="C13" s="281"/>
      <c r="D13" s="281"/>
      <c r="E13" s="281"/>
      <c r="F13" s="281"/>
      <c r="G13" s="281"/>
      <c r="H13" s="281"/>
      <c r="I13" s="281"/>
      <c r="J13" s="281"/>
      <c r="K13" s="281"/>
      <c r="L13" s="281"/>
      <c r="M13" s="281"/>
      <c r="N13" s="281"/>
      <c r="O13" s="281"/>
      <c r="P13" s="281"/>
      <c r="Q13" s="281"/>
      <c r="R13" s="281"/>
      <c r="S13" s="281"/>
      <c r="T13" s="281"/>
      <c r="U13" s="281"/>
      <c r="V13" s="281"/>
      <c r="W13" s="281"/>
      <c r="X13" s="281"/>
      <c r="Y13" s="281"/>
      <c r="Z13" s="281"/>
      <c r="AA13" s="281"/>
      <c r="AB13" s="281"/>
      <c r="AC13" s="281"/>
      <c r="AD13" s="281"/>
      <c r="AE13" s="281"/>
      <c r="AF13" s="281"/>
      <c r="AG13" s="281"/>
      <c r="AH13" s="281"/>
      <c r="AI13" s="281"/>
      <c r="AJ13" s="281"/>
      <c r="AK13" s="281"/>
      <c r="AL13" s="281"/>
      <c r="AM13" s="281"/>
      <c r="AN13" s="281"/>
      <c r="AO13" s="281"/>
      <c r="AP13" s="281"/>
      <c r="AQ13" s="281"/>
      <c r="AR13" s="281"/>
      <c r="AS13" s="281"/>
      <c r="AT13" s="281"/>
      <c r="AU13" s="281"/>
      <c r="AV13" s="281"/>
      <c r="AW13" s="281"/>
      <c r="AX13" s="281"/>
      <c r="AY13" s="281"/>
      <c r="AZ13" s="281"/>
      <c r="BA13" s="281"/>
      <c r="BB13" s="281"/>
      <c r="BC13" s="281"/>
      <c r="BD13" s="281"/>
      <c r="BE13" s="281"/>
      <c r="BF13" s="281">
        <v>205995.50293016198</v>
      </c>
      <c r="BG13" s="281">
        <v>20022.292323937541</v>
      </c>
      <c r="BH13" s="281"/>
      <c r="BI13" s="281"/>
      <c r="BJ13" s="281"/>
      <c r="BK13" s="281"/>
      <c r="BL13" s="281"/>
      <c r="BM13" s="281"/>
      <c r="BN13" s="281"/>
      <c r="BO13" s="281"/>
      <c r="BP13" s="281"/>
      <c r="BQ13" s="281"/>
      <c r="BR13" s="281"/>
      <c r="BS13" s="281"/>
      <c r="BT13" s="281"/>
      <c r="BU13" s="281"/>
      <c r="BV13" s="281"/>
      <c r="BW13" s="281"/>
      <c r="BX13" s="281"/>
      <c r="BY13" s="281"/>
      <c r="BZ13" s="281"/>
      <c r="CA13" s="281"/>
      <c r="CB13" s="281"/>
      <c r="CC13" s="281"/>
      <c r="CD13" s="281"/>
      <c r="CE13" s="281"/>
      <c r="CF13" s="281"/>
      <c r="CG13" s="281"/>
      <c r="CH13" s="281"/>
      <c r="CI13" s="281"/>
      <c r="CJ13" s="281"/>
      <c r="CK13" s="281"/>
      <c r="CL13" s="281"/>
      <c r="CM13" s="281"/>
      <c r="CN13" s="281"/>
      <c r="CO13" s="281"/>
      <c r="CP13" s="281"/>
      <c r="CQ13" s="281"/>
      <c r="CR13" s="281"/>
      <c r="CS13" s="281"/>
      <c r="CT13" s="281"/>
      <c r="CU13" s="281"/>
      <c r="CV13" s="281"/>
      <c r="CW13" s="281"/>
      <c r="CX13" s="281"/>
      <c r="CY13" s="281"/>
      <c r="CZ13" s="281"/>
      <c r="DA13" s="281"/>
      <c r="DB13" s="281"/>
      <c r="DC13" s="281"/>
      <c r="DD13" s="281"/>
      <c r="DE13" s="281"/>
      <c r="DF13" s="281"/>
      <c r="DG13" s="281"/>
      <c r="DH13" s="281"/>
      <c r="DI13" s="281"/>
      <c r="DJ13" s="281"/>
      <c r="DK13" s="281"/>
      <c r="DL13" s="281"/>
      <c r="DM13" s="281"/>
      <c r="DN13" s="281"/>
      <c r="DO13" s="281"/>
      <c r="DP13" s="281"/>
      <c r="DQ13" s="281"/>
      <c r="DR13" s="281"/>
      <c r="DS13" s="281"/>
      <c r="DT13" s="281"/>
      <c r="DU13" s="281"/>
      <c r="DV13" s="281"/>
      <c r="DW13" s="281"/>
      <c r="DX13" s="281"/>
      <c r="DY13" s="281"/>
      <c r="DZ13" s="281"/>
      <c r="EA13" s="281"/>
      <c r="EB13" s="281"/>
      <c r="EC13" s="281"/>
      <c r="ED13" s="281"/>
      <c r="EE13" s="281"/>
      <c r="EF13" s="281"/>
      <c r="EG13" s="281"/>
      <c r="EH13" s="281"/>
      <c r="EI13" s="281"/>
      <c r="EJ13" s="281"/>
      <c r="EK13" s="281"/>
      <c r="EL13" s="281">
        <v>226017.79525409953</v>
      </c>
    </row>
    <row r="14" spans="1:142" x14ac:dyDescent="0.25">
      <c r="A14" s="279" t="s">
        <v>1647</v>
      </c>
      <c r="B14" s="281"/>
      <c r="C14" s="281"/>
      <c r="D14" s="281"/>
      <c r="E14" s="281"/>
      <c r="F14" s="281"/>
      <c r="G14" s="281"/>
      <c r="H14" s="281"/>
      <c r="I14" s="281"/>
      <c r="J14" s="281"/>
      <c r="K14" s="281"/>
      <c r="L14" s="281"/>
      <c r="M14" s="281"/>
      <c r="N14" s="281"/>
      <c r="O14" s="281"/>
      <c r="P14" s="281"/>
      <c r="Q14" s="281"/>
      <c r="R14" s="281"/>
      <c r="S14" s="281"/>
      <c r="T14" s="281"/>
      <c r="U14" s="281"/>
      <c r="V14" s="281"/>
      <c r="W14" s="281"/>
      <c r="X14" s="281"/>
      <c r="Y14" s="281"/>
      <c r="Z14" s="281"/>
      <c r="AA14" s="281"/>
      <c r="AB14" s="281"/>
      <c r="AC14" s="281"/>
      <c r="AD14" s="281"/>
      <c r="AE14" s="281"/>
      <c r="AF14" s="281"/>
      <c r="AG14" s="281"/>
      <c r="AH14" s="281"/>
      <c r="AI14" s="281"/>
      <c r="AJ14" s="281"/>
      <c r="AK14" s="281"/>
      <c r="AL14" s="281"/>
      <c r="AM14" s="281"/>
      <c r="AN14" s="281"/>
      <c r="AO14" s="281"/>
      <c r="AP14" s="281"/>
      <c r="AQ14" s="281"/>
      <c r="AR14" s="281"/>
      <c r="AS14" s="281"/>
      <c r="AT14" s="281"/>
      <c r="AU14" s="281"/>
      <c r="AV14" s="281"/>
      <c r="AW14" s="281"/>
      <c r="AX14" s="281"/>
      <c r="AY14" s="281"/>
      <c r="AZ14" s="281"/>
      <c r="BA14" s="281"/>
      <c r="BB14" s="281"/>
      <c r="BC14" s="281"/>
      <c r="BD14" s="281"/>
      <c r="BE14" s="281"/>
      <c r="BF14" s="281">
        <v>1157.5916814263001</v>
      </c>
      <c r="BG14" s="281">
        <v>57434.720032921643</v>
      </c>
      <c r="BH14" s="281"/>
      <c r="BI14" s="281"/>
      <c r="BJ14" s="281"/>
      <c r="BK14" s="281"/>
      <c r="BL14" s="281"/>
      <c r="BM14" s="281"/>
      <c r="BN14" s="281"/>
      <c r="BO14" s="281"/>
      <c r="BP14" s="281"/>
      <c r="BQ14" s="281"/>
      <c r="BR14" s="281"/>
      <c r="BS14" s="281"/>
      <c r="BT14" s="281"/>
      <c r="BU14" s="281"/>
      <c r="BV14" s="281"/>
      <c r="BW14" s="281"/>
      <c r="BX14" s="281"/>
      <c r="BY14" s="281"/>
      <c r="BZ14" s="281"/>
      <c r="CA14" s="281"/>
      <c r="CB14" s="281"/>
      <c r="CC14" s="281"/>
      <c r="CD14" s="281"/>
      <c r="CE14" s="281"/>
      <c r="CF14" s="281"/>
      <c r="CG14" s="281"/>
      <c r="CH14" s="281"/>
      <c r="CI14" s="281"/>
      <c r="CJ14" s="281"/>
      <c r="CK14" s="281"/>
      <c r="CL14" s="281"/>
      <c r="CM14" s="281"/>
      <c r="CN14" s="281"/>
      <c r="CO14" s="281"/>
      <c r="CP14" s="281"/>
      <c r="CQ14" s="281"/>
      <c r="CR14" s="281"/>
      <c r="CS14" s="281"/>
      <c r="CT14" s="281"/>
      <c r="CU14" s="281"/>
      <c r="CV14" s="281"/>
      <c r="CW14" s="281"/>
      <c r="CX14" s="281"/>
      <c r="CY14" s="281"/>
      <c r="CZ14" s="281"/>
      <c r="DA14" s="281"/>
      <c r="DB14" s="281"/>
      <c r="DC14" s="281"/>
      <c r="DD14" s="281"/>
      <c r="DE14" s="281"/>
      <c r="DF14" s="281"/>
      <c r="DG14" s="281"/>
      <c r="DH14" s="281"/>
      <c r="DI14" s="281"/>
      <c r="DJ14" s="281"/>
      <c r="DK14" s="281"/>
      <c r="DL14" s="281"/>
      <c r="DM14" s="281"/>
      <c r="DN14" s="281"/>
      <c r="DO14" s="281"/>
      <c r="DP14" s="281"/>
      <c r="DQ14" s="281"/>
      <c r="DR14" s="281"/>
      <c r="DS14" s="281"/>
      <c r="DT14" s="281"/>
      <c r="DU14" s="281"/>
      <c r="DV14" s="281"/>
      <c r="DW14" s="281"/>
      <c r="DX14" s="281"/>
      <c r="DY14" s="281"/>
      <c r="DZ14" s="281"/>
      <c r="EA14" s="281"/>
      <c r="EB14" s="281"/>
      <c r="EC14" s="281"/>
      <c r="ED14" s="281"/>
      <c r="EE14" s="281"/>
      <c r="EF14" s="281"/>
      <c r="EG14" s="281"/>
      <c r="EH14" s="281"/>
      <c r="EI14" s="281"/>
      <c r="EJ14" s="281"/>
      <c r="EK14" s="281"/>
      <c r="EL14" s="281">
        <v>58592.311714347947</v>
      </c>
    </row>
    <row r="15" spans="1:142" x14ac:dyDescent="0.25">
      <c r="A15" s="279" t="s">
        <v>1646</v>
      </c>
      <c r="B15" s="281"/>
      <c r="C15" s="281"/>
      <c r="D15" s="281"/>
      <c r="E15" s="281"/>
      <c r="F15" s="281"/>
      <c r="G15" s="281"/>
      <c r="H15" s="281"/>
      <c r="I15" s="281"/>
      <c r="J15" s="281"/>
      <c r="K15" s="281"/>
      <c r="L15" s="281"/>
      <c r="M15" s="281"/>
      <c r="N15" s="281"/>
      <c r="O15" s="281"/>
      <c r="P15" s="281"/>
      <c r="Q15" s="281"/>
      <c r="R15" s="281"/>
      <c r="S15" s="281"/>
      <c r="T15" s="281"/>
      <c r="U15" s="281"/>
      <c r="V15" s="281"/>
      <c r="W15" s="281"/>
      <c r="X15" s="281"/>
      <c r="Y15" s="281"/>
      <c r="Z15" s="281"/>
      <c r="AA15" s="281"/>
      <c r="AB15" s="281"/>
      <c r="AC15" s="281"/>
      <c r="AD15" s="281"/>
      <c r="AE15" s="281"/>
      <c r="AF15" s="281"/>
      <c r="AG15" s="281"/>
      <c r="AH15" s="281"/>
      <c r="AI15" s="281"/>
      <c r="AJ15" s="281"/>
      <c r="AK15" s="281"/>
      <c r="AL15" s="281"/>
      <c r="AM15" s="281"/>
      <c r="AN15" s="281"/>
      <c r="AO15" s="281"/>
      <c r="AP15" s="281"/>
      <c r="AQ15" s="281"/>
      <c r="AR15" s="281"/>
      <c r="AS15" s="281"/>
      <c r="AT15" s="281"/>
      <c r="AU15" s="281"/>
      <c r="AV15" s="281"/>
      <c r="AW15" s="281"/>
      <c r="AX15" s="281"/>
      <c r="AY15" s="281"/>
      <c r="AZ15" s="281"/>
      <c r="BA15" s="281"/>
      <c r="BB15" s="281"/>
      <c r="BC15" s="281"/>
      <c r="BD15" s="281"/>
      <c r="BE15" s="281"/>
      <c r="BF15" s="281"/>
      <c r="BG15" s="281"/>
      <c r="BH15" s="281">
        <v>3874.070587868704</v>
      </c>
      <c r="BI15" s="281"/>
      <c r="BJ15" s="281"/>
      <c r="BK15" s="281"/>
      <c r="BL15" s="281"/>
      <c r="BM15" s="281"/>
      <c r="BN15" s="281"/>
      <c r="BO15" s="281"/>
      <c r="BP15" s="281"/>
      <c r="BQ15" s="281"/>
      <c r="BR15" s="281"/>
      <c r="BS15" s="281"/>
      <c r="BT15" s="281"/>
      <c r="BU15" s="281"/>
      <c r="BV15" s="281"/>
      <c r="BW15" s="281"/>
      <c r="BX15" s="281"/>
      <c r="BY15" s="281"/>
      <c r="BZ15" s="281"/>
      <c r="CA15" s="281"/>
      <c r="CB15" s="281"/>
      <c r="CC15" s="281"/>
      <c r="CD15" s="281"/>
      <c r="CE15" s="281"/>
      <c r="CF15" s="281"/>
      <c r="CG15" s="281"/>
      <c r="CH15" s="281"/>
      <c r="CI15" s="281"/>
      <c r="CJ15" s="281"/>
      <c r="CK15" s="281"/>
      <c r="CL15" s="281"/>
      <c r="CM15" s="281"/>
      <c r="CN15" s="281"/>
      <c r="CO15" s="281"/>
      <c r="CP15" s="281"/>
      <c r="CQ15" s="281"/>
      <c r="CR15" s="281"/>
      <c r="CS15" s="281"/>
      <c r="CT15" s="281"/>
      <c r="CU15" s="281"/>
      <c r="CV15" s="281"/>
      <c r="CW15" s="281"/>
      <c r="CX15" s="281"/>
      <c r="CY15" s="281"/>
      <c r="CZ15" s="281"/>
      <c r="DA15" s="281"/>
      <c r="DB15" s="281"/>
      <c r="DC15" s="281"/>
      <c r="DD15" s="281"/>
      <c r="DE15" s="281"/>
      <c r="DF15" s="281"/>
      <c r="DG15" s="281"/>
      <c r="DH15" s="281"/>
      <c r="DI15" s="281"/>
      <c r="DJ15" s="281"/>
      <c r="DK15" s="281"/>
      <c r="DL15" s="281"/>
      <c r="DM15" s="281"/>
      <c r="DN15" s="281"/>
      <c r="DO15" s="281"/>
      <c r="DP15" s="281"/>
      <c r="DQ15" s="281"/>
      <c r="DR15" s="281"/>
      <c r="DS15" s="281"/>
      <c r="DT15" s="281"/>
      <c r="DU15" s="281"/>
      <c r="DV15" s="281"/>
      <c r="DW15" s="281"/>
      <c r="DX15" s="281"/>
      <c r="DY15" s="281"/>
      <c r="DZ15" s="281"/>
      <c r="EA15" s="281"/>
      <c r="EB15" s="281"/>
      <c r="EC15" s="281"/>
      <c r="ED15" s="281"/>
      <c r="EE15" s="281"/>
      <c r="EF15" s="281"/>
      <c r="EG15" s="281"/>
      <c r="EH15" s="281"/>
      <c r="EI15" s="281"/>
      <c r="EJ15" s="281"/>
      <c r="EK15" s="281"/>
      <c r="EL15" s="281">
        <v>3874.070587868704</v>
      </c>
    </row>
    <row r="16" spans="1:142" x14ac:dyDescent="0.25">
      <c r="A16" s="279" t="s">
        <v>1645</v>
      </c>
      <c r="B16" s="281"/>
      <c r="C16" s="281"/>
      <c r="D16" s="281"/>
      <c r="E16" s="281"/>
      <c r="F16" s="281"/>
      <c r="G16" s="281"/>
      <c r="H16" s="281"/>
      <c r="I16" s="281"/>
      <c r="J16" s="281"/>
      <c r="K16" s="281"/>
      <c r="L16" s="281"/>
      <c r="M16" s="281"/>
      <c r="N16" s="281"/>
      <c r="O16" s="281"/>
      <c r="P16" s="281"/>
      <c r="Q16" s="281"/>
      <c r="R16" s="281"/>
      <c r="S16" s="281"/>
      <c r="T16" s="281"/>
      <c r="U16" s="281"/>
      <c r="V16" s="281"/>
      <c r="W16" s="281"/>
      <c r="X16" s="281"/>
      <c r="Y16" s="281"/>
      <c r="Z16" s="281"/>
      <c r="AA16" s="281"/>
      <c r="AB16" s="281"/>
      <c r="AC16" s="281"/>
      <c r="AD16" s="281"/>
      <c r="AE16" s="281"/>
      <c r="AF16" s="281"/>
      <c r="AG16" s="281"/>
      <c r="AH16" s="281"/>
      <c r="AI16" s="281"/>
      <c r="AJ16" s="281"/>
      <c r="AK16" s="281"/>
      <c r="AL16" s="281"/>
      <c r="AM16" s="281"/>
      <c r="AN16" s="281"/>
      <c r="AO16" s="281"/>
      <c r="AP16" s="281"/>
      <c r="AQ16" s="281"/>
      <c r="AR16" s="281"/>
      <c r="AS16" s="281"/>
      <c r="AT16" s="281"/>
      <c r="AU16" s="281"/>
      <c r="AV16" s="281"/>
      <c r="AW16" s="281"/>
      <c r="AX16" s="281"/>
      <c r="AY16" s="281"/>
      <c r="AZ16" s="281"/>
      <c r="BA16" s="281"/>
      <c r="BB16" s="281"/>
      <c r="BC16" s="281"/>
      <c r="BD16" s="281"/>
      <c r="BE16" s="281"/>
      <c r="BF16" s="281"/>
      <c r="BG16" s="281"/>
      <c r="BH16" s="281"/>
      <c r="BI16" s="281">
        <v>4646.7519999999895</v>
      </c>
      <c r="BJ16" s="281"/>
      <c r="BK16" s="281"/>
      <c r="BL16" s="281"/>
      <c r="BM16" s="281"/>
      <c r="BN16" s="281"/>
      <c r="BO16" s="281"/>
      <c r="BP16" s="281"/>
      <c r="BQ16" s="281"/>
      <c r="BR16" s="281"/>
      <c r="BS16" s="281"/>
      <c r="BT16" s="281"/>
      <c r="BU16" s="281"/>
      <c r="BV16" s="281"/>
      <c r="BW16" s="281"/>
      <c r="BX16" s="281"/>
      <c r="BY16" s="281"/>
      <c r="BZ16" s="281"/>
      <c r="CA16" s="281"/>
      <c r="CB16" s="281"/>
      <c r="CC16" s="281"/>
      <c r="CD16" s="281"/>
      <c r="CE16" s="281"/>
      <c r="CF16" s="281"/>
      <c r="CG16" s="281"/>
      <c r="CH16" s="281"/>
      <c r="CI16" s="281"/>
      <c r="CJ16" s="281"/>
      <c r="CK16" s="281"/>
      <c r="CL16" s="281"/>
      <c r="CM16" s="281"/>
      <c r="CN16" s="281"/>
      <c r="CO16" s="281"/>
      <c r="CP16" s="281"/>
      <c r="CQ16" s="281"/>
      <c r="CR16" s="281"/>
      <c r="CS16" s="281"/>
      <c r="CT16" s="281"/>
      <c r="CU16" s="281"/>
      <c r="CV16" s="281"/>
      <c r="CW16" s="281"/>
      <c r="CX16" s="281"/>
      <c r="CY16" s="281"/>
      <c r="CZ16" s="281"/>
      <c r="DA16" s="281"/>
      <c r="DB16" s="281"/>
      <c r="DC16" s="281"/>
      <c r="DD16" s="281"/>
      <c r="DE16" s="281"/>
      <c r="DF16" s="281"/>
      <c r="DG16" s="281"/>
      <c r="DH16" s="281"/>
      <c r="DI16" s="281"/>
      <c r="DJ16" s="281"/>
      <c r="DK16" s="281"/>
      <c r="DL16" s="281"/>
      <c r="DM16" s="281"/>
      <c r="DN16" s="281"/>
      <c r="DO16" s="281"/>
      <c r="DP16" s="281"/>
      <c r="DQ16" s="281"/>
      <c r="DR16" s="281"/>
      <c r="DS16" s="281"/>
      <c r="DT16" s="281"/>
      <c r="DU16" s="281"/>
      <c r="DV16" s="281"/>
      <c r="DW16" s="281"/>
      <c r="DX16" s="281"/>
      <c r="DY16" s="281"/>
      <c r="DZ16" s="281"/>
      <c r="EA16" s="281"/>
      <c r="EB16" s="281"/>
      <c r="EC16" s="281"/>
      <c r="ED16" s="281"/>
      <c r="EE16" s="281"/>
      <c r="EF16" s="281"/>
      <c r="EG16" s="281"/>
      <c r="EH16" s="281"/>
      <c r="EI16" s="281"/>
      <c r="EJ16" s="281"/>
      <c r="EK16" s="281"/>
      <c r="EL16" s="281">
        <v>4646.7519999999895</v>
      </c>
    </row>
    <row r="17" spans="1:142" x14ac:dyDescent="0.25">
      <c r="A17" s="279" t="s">
        <v>1644</v>
      </c>
      <c r="B17" s="281"/>
      <c r="C17" s="281"/>
      <c r="D17" s="281"/>
      <c r="E17" s="281"/>
      <c r="F17" s="281"/>
      <c r="G17" s="281"/>
      <c r="H17" s="281"/>
      <c r="I17" s="281"/>
      <c r="J17" s="281"/>
      <c r="K17" s="281"/>
      <c r="L17" s="281"/>
      <c r="M17" s="281"/>
      <c r="N17" s="281"/>
      <c r="O17" s="281"/>
      <c r="P17" s="281"/>
      <c r="Q17" s="281"/>
      <c r="R17" s="281"/>
      <c r="S17" s="281"/>
      <c r="T17" s="281"/>
      <c r="U17" s="281"/>
      <c r="V17" s="281"/>
      <c r="W17" s="281"/>
      <c r="X17" s="281"/>
      <c r="Y17" s="281"/>
      <c r="Z17" s="281"/>
      <c r="AA17" s="281"/>
      <c r="AB17" s="281"/>
      <c r="AC17" s="281"/>
      <c r="AD17" s="281"/>
      <c r="AE17" s="281"/>
      <c r="AF17" s="281"/>
      <c r="AG17" s="281"/>
      <c r="AH17" s="281"/>
      <c r="AI17" s="281"/>
      <c r="AJ17" s="281"/>
      <c r="AK17" s="281"/>
      <c r="AL17" s="281"/>
      <c r="AM17" s="281"/>
      <c r="AN17" s="281"/>
      <c r="AO17" s="281"/>
      <c r="AP17" s="281"/>
      <c r="AQ17" s="281"/>
      <c r="AR17" s="281"/>
      <c r="AS17" s="281"/>
      <c r="AT17" s="281"/>
      <c r="AU17" s="281"/>
      <c r="AV17" s="281"/>
      <c r="AW17" s="281"/>
      <c r="AX17" s="281"/>
      <c r="AY17" s="281"/>
      <c r="AZ17" s="281"/>
      <c r="BA17" s="281"/>
      <c r="BB17" s="281"/>
      <c r="BC17" s="281"/>
      <c r="BD17" s="281"/>
      <c r="BE17" s="281"/>
      <c r="BF17" s="281"/>
      <c r="BG17" s="281"/>
      <c r="BH17" s="281"/>
      <c r="BI17" s="281"/>
      <c r="BJ17" s="281">
        <v>1</v>
      </c>
      <c r="BK17" s="281"/>
      <c r="BL17" s="281"/>
      <c r="BM17" s="281"/>
      <c r="BN17" s="281"/>
      <c r="BO17" s="281"/>
      <c r="BP17" s="281"/>
      <c r="BQ17" s="281"/>
      <c r="BR17" s="281"/>
      <c r="BS17" s="281"/>
      <c r="BT17" s="281"/>
      <c r="BU17" s="281"/>
      <c r="BV17" s="281"/>
      <c r="BW17" s="281"/>
      <c r="BX17" s="281"/>
      <c r="BY17" s="281"/>
      <c r="BZ17" s="281"/>
      <c r="CA17" s="281"/>
      <c r="CB17" s="281"/>
      <c r="CC17" s="281"/>
      <c r="CD17" s="281"/>
      <c r="CE17" s="281"/>
      <c r="CF17" s="281"/>
      <c r="CG17" s="281"/>
      <c r="CH17" s="281"/>
      <c r="CI17" s="281"/>
      <c r="CJ17" s="281"/>
      <c r="CK17" s="281"/>
      <c r="CL17" s="281"/>
      <c r="CM17" s="281"/>
      <c r="CN17" s="281"/>
      <c r="CO17" s="281"/>
      <c r="CP17" s="281"/>
      <c r="CQ17" s="281"/>
      <c r="CR17" s="281"/>
      <c r="CS17" s="281"/>
      <c r="CT17" s="281"/>
      <c r="CU17" s="281"/>
      <c r="CV17" s="281"/>
      <c r="CW17" s="281"/>
      <c r="CX17" s="281"/>
      <c r="CY17" s="281"/>
      <c r="CZ17" s="281"/>
      <c r="DA17" s="281"/>
      <c r="DB17" s="281"/>
      <c r="DC17" s="281"/>
      <c r="DD17" s="281"/>
      <c r="DE17" s="281"/>
      <c r="DF17" s="281"/>
      <c r="DG17" s="281"/>
      <c r="DH17" s="281"/>
      <c r="DI17" s="281"/>
      <c r="DJ17" s="281"/>
      <c r="DK17" s="281"/>
      <c r="DL17" s="281"/>
      <c r="DM17" s="281"/>
      <c r="DN17" s="281"/>
      <c r="DO17" s="281"/>
      <c r="DP17" s="281"/>
      <c r="DQ17" s="281"/>
      <c r="DR17" s="281"/>
      <c r="DS17" s="281"/>
      <c r="DT17" s="281"/>
      <c r="DU17" s="281"/>
      <c r="DV17" s="281"/>
      <c r="DW17" s="281"/>
      <c r="DX17" s="281"/>
      <c r="DY17" s="281"/>
      <c r="DZ17" s="281"/>
      <c r="EA17" s="281"/>
      <c r="EB17" s="281"/>
      <c r="EC17" s="281"/>
      <c r="ED17" s="281"/>
      <c r="EE17" s="281"/>
      <c r="EF17" s="281"/>
      <c r="EG17" s="281"/>
      <c r="EH17" s="281"/>
      <c r="EI17" s="281"/>
      <c r="EJ17" s="281"/>
      <c r="EK17" s="281"/>
      <c r="EL17" s="281">
        <v>1</v>
      </c>
    </row>
    <row r="18" spans="1:142" x14ac:dyDescent="0.25">
      <c r="A18" s="279" t="s">
        <v>1643</v>
      </c>
      <c r="B18" s="281"/>
      <c r="C18" s="281"/>
      <c r="D18" s="281"/>
      <c r="E18" s="281"/>
      <c r="F18" s="281"/>
      <c r="G18" s="281"/>
      <c r="H18" s="281"/>
      <c r="I18" s="281"/>
      <c r="J18" s="281"/>
      <c r="K18" s="281"/>
      <c r="L18" s="281"/>
      <c r="M18" s="281"/>
      <c r="N18" s="281"/>
      <c r="O18" s="281"/>
      <c r="P18" s="281"/>
      <c r="Q18" s="281"/>
      <c r="R18" s="281"/>
      <c r="S18" s="281"/>
      <c r="T18" s="281"/>
      <c r="U18" s="281"/>
      <c r="V18" s="281"/>
      <c r="W18" s="281"/>
      <c r="X18" s="281"/>
      <c r="Y18" s="281"/>
      <c r="Z18" s="281"/>
      <c r="AA18" s="281"/>
      <c r="AB18" s="281"/>
      <c r="AC18" s="281"/>
      <c r="AD18" s="281"/>
      <c r="AE18" s="281"/>
      <c r="AF18" s="281"/>
      <c r="AG18" s="281"/>
      <c r="AH18" s="281"/>
      <c r="AI18" s="281"/>
      <c r="AJ18" s="281"/>
      <c r="AK18" s="281"/>
      <c r="AL18" s="281"/>
      <c r="AM18" s="281"/>
      <c r="AN18" s="281"/>
      <c r="AO18" s="281"/>
      <c r="AP18" s="281"/>
      <c r="AQ18" s="281"/>
      <c r="AR18" s="281"/>
      <c r="AS18" s="281"/>
      <c r="AT18" s="281"/>
      <c r="AU18" s="281"/>
      <c r="AV18" s="281"/>
      <c r="AW18" s="281"/>
      <c r="AX18" s="281"/>
      <c r="AY18" s="281"/>
      <c r="AZ18" s="281"/>
      <c r="BA18" s="281"/>
      <c r="BB18" s="281"/>
      <c r="BC18" s="281"/>
      <c r="BD18" s="281"/>
      <c r="BE18" s="281"/>
      <c r="BF18" s="281"/>
      <c r="BG18" s="281"/>
      <c r="BH18" s="281"/>
      <c r="BI18" s="281"/>
      <c r="BJ18" s="281"/>
      <c r="BK18" s="281">
        <v>265777.35384823539</v>
      </c>
      <c r="BL18" s="281"/>
      <c r="BM18" s="281"/>
      <c r="BN18" s="281"/>
      <c r="BO18" s="281"/>
      <c r="BP18" s="281"/>
      <c r="BQ18" s="281"/>
      <c r="BR18" s="281"/>
      <c r="BS18" s="281"/>
      <c r="BT18" s="281"/>
      <c r="BU18" s="281"/>
      <c r="BV18" s="281"/>
      <c r="BW18" s="281"/>
      <c r="BX18" s="281"/>
      <c r="BY18" s="281"/>
      <c r="BZ18" s="281"/>
      <c r="CA18" s="281"/>
      <c r="CB18" s="281"/>
      <c r="CC18" s="281"/>
      <c r="CD18" s="281"/>
      <c r="CE18" s="281"/>
      <c r="CF18" s="281"/>
      <c r="CG18" s="281"/>
      <c r="CH18" s="281"/>
      <c r="CI18" s="281"/>
      <c r="CJ18" s="281"/>
      <c r="CK18" s="281"/>
      <c r="CL18" s="281"/>
      <c r="CM18" s="281"/>
      <c r="CN18" s="281"/>
      <c r="CO18" s="281"/>
      <c r="CP18" s="281"/>
      <c r="CQ18" s="281"/>
      <c r="CR18" s="281"/>
      <c r="CS18" s="281"/>
      <c r="CT18" s="281"/>
      <c r="CU18" s="281"/>
      <c r="CV18" s="281"/>
      <c r="CW18" s="281"/>
      <c r="CX18" s="281"/>
      <c r="CY18" s="281"/>
      <c r="CZ18" s="281"/>
      <c r="DA18" s="281"/>
      <c r="DB18" s="281"/>
      <c r="DC18" s="281"/>
      <c r="DD18" s="281"/>
      <c r="DE18" s="281"/>
      <c r="DF18" s="281"/>
      <c r="DG18" s="281"/>
      <c r="DH18" s="281"/>
      <c r="DI18" s="281"/>
      <c r="DJ18" s="281"/>
      <c r="DK18" s="281"/>
      <c r="DL18" s="281"/>
      <c r="DM18" s="281"/>
      <c r="DN18" s="281"/>
      <c r="DO18" s="281"/>
      <c r="DP18" s="281"/>
      <c r="DQ18" s="281"/>
      <c r="DR18" s="281"/>
      <c r="DS18" s="281"/>
      <c r="DT18" s="281"/>
      <c r="DU18" s="281"/>
      <c r="DV18" s="281"/>
      <c r="DW18" s="281"/>
      <c r="DX18" s="281"/>
      <c r="DY18" s="281"/>
      <c r="DZ18" s="281"/>
      <c r="EA18" s="281"/>
      <c r="EB18" s="281"/>
      <c r="EC18" s="281"/>
      <c r="ED18" s="281"/>
      <c r="EE18" s="281"/>
      <c r="EF18" s="281"/>
      <c r="EG18" s="281"/>
      <c r="EH18" s="281"/>
      <c r="EI18" s="281"/>
      <c r="EJ18" s="281"/>
      <c r="EK18" s="281"/>
      <c r="EL18" s="281">
        <v>265777.35384823539</v>
      </c>
    </row>
    <row r="19" spans="1:142" x14ac:dyDescent="0.25">
      <c r="A19" s="279" t="s">
        <v>1642</v>
      </c>
      <c r="B19" s="281"/>
      <c r="C19" s="281"/>
      <c r="D19" s="281"/>
      <c r="E19" s="281"/>
      <c r="F19" s="281"/>
      <c r="G19" s="281"/>
      <c r="H19" s="281"/>
      <c r="I19" s="281"/>
      <c r="J19" s="281"/>
      <c r="K19" s="281"/>
      <c r="L19" s="281"/>
      <c r="M19" s="281"/>
      <c r="N19" s="281"/>
      <c r="O19" s="281"/>
      <c r="P19" s="281"/>
      <c r="Q19" s="281"/>
      <c r="R19" s="281"/>
      <c r="S19" s="281"/>
      <c r="T19" s="281"/>
      <c r="U19" s="281"/>
      <c r="V19" s="281"/>
      <c r="W19" s="281"/>
      <c r="X19" s="281"/>
      <c r="Y19" s="281"/>
      <c r="Z19" s="281"/>
      <c r="AA19" s="281"/>
      <c r="AB19" s="281"/>
      <c r="AC19" s="281"/>
      <c r="AD19" s="281"/>
      <c r="AE19" s="281"/>
      <c r="AF19" s="281"/>
      <c r="AG19" s="281"/>
      <c r="AH19" s="281"/>
      <c r="AI19" s="281"/>
      <c r="AJ19" s="281"/>
      <c r="AK19" s="281"/>
      <c r="AL19" s="281"/>
      <c r="AM19" s="281"/>
      <c r="AN19" s="281"/>
      <c r="AO19" s="281"/>
      <c r="AP19" s="281"/>
      <c r="AQ19" s="281"/>
      <c r="AR19" s="281"/>
      <c r="AS19" s="281"/>
      <c r="AT19" s="281"/>
      <c r="AU19" s="281"/>
      <c r="AV19" s="281"/>
      <c r="AW19" s="281"/>
      <c r="AX19" s="281"/>
      <c r="AY19" s="281"/>
      <c r="AZ19" s="281"/>
      <c r="BA19" s="281"/>
      <c r="BB19" s="281"/>
      <c r="BC19" s="281"/>
      <c r="BD19" s="281"/>
      <c r="BE19" s="281"/>
      <c r="BF19" s="281"/>
      <c r="BG19" s="281"/>
      <c r="BH19" s="281"/>
      <c r="BI19" s="281"/>
      <c r="BJ19" s="281"/>
      <c r="BK19" s="281"/>
      <c r="BL19" s="281">
        <v>83271.30903482523</v>
      </c>
      <c r="BM19" s="281"/>
      <c r="BN19" s="281"/>
      <c r="BO19" s="281"/>
      <c r="BP19" s="281"/>
      <c r="BQ19" s="281"/>
      <c r="BR19" s="281"/>
      <c r="BS19" s="281"/>
      <c r="BT19" s="281"/>
      <c r="BU19" s="281"/>
      <c r="BV19" s="281"/>
      <c r="BW19" s="281"/>
      <c r="BX19" s="281"/>
      <c r="BY19" s="281"/>
      <c r="BZ19" s="281"/>
      <c r="CA19" s="281"/>
      <c r="CB19" s="281"/>
      <c r="CC19" s="281"/>
      <c r="CD19" s="281"/>
      <c r="CE19" s="281"/>
      <c r="CF19" s="281"/>
      <c r="CG19" s="281"/>
      <c r="CH19" s="281"/>
      <c r="CI19" s="281"/>
      <c r="CJ19" s="281"/>
      <c r="CK19" s="281"/>
      <c r="CL19" s="281"/>
      <c r="CM19" s="281"/>
      <c r="CN19" s="281"/>
      <c r="CO19" s="281"/>
      <c r="CP19" s="281"/>
      <c r="CQ19" s="281"/>
      <c r="CR19" s="281"/>
      <c r="CS19" s="281"/>
      <c r="CT19" s="281"/>
      <c r="CU19" s="281"/>
      <c r="CV19" s="281"/>
      <c r="CW19" s="281"/>
      <c r="CX19" s="281"/>
      <c r="CY19" s="281"/>
      <c r="CZ19" s="281"/>
      <c r="DA19" s="281"/>
      <c r="DB19" s="281"/>
      <c r="DC19" s="281"/>
      <c r="DD19" s="281"/>
      <c r="DE19" s="281"/>
      <c r="DF19" s="281"/>
      <c r="DG19" s="281"/>
      <c r="DH19" s="281"/>
      <c r="DI19" s="281"/>
      <c r="DJ19" s="281"/>
      <c r="DK19" s="281"/>
      <c r="DL19" s="281"/>
      <c r="DM19" s="281"/>
      <c r="DN19" s="281"/>
      <c r="DO19" s="281"/>
      <c r="DP19" s="281"/>
      <c r="DQ19" s="281"/>
      <c r="DR19" s="281"/>
      <c r="DS19" s="281"/>
      <c r="DT19" s="281"/>
      <c r="DU19" s="281"/>
      <c r="DV19" s="281"/>
      <c r="DW19" s="281"/>
      <c r="DX19" s="281"/>
      <c r="DY19" s="281"/>
      <c r="DZ19" s="281"/>
      <c r="EA19" s="281"/>
      <c r="EB19" s="281"/>
      <c r="EC19" s="281"/>
      <c r="ED19" s="281"/>
      <c r="EE19" s="281"/>
      <c r="EF19" s="281"/>
      <c r="EG19" s="281"/>
      <c r="EH19" s="281"/>
      <c r="EI19" s="281"/>
      <c r="EJ19" s="281"/>
      <c r="EK19" s="281"/>
      <c r="EL19" s="281">
        <v>83271.30903482523</v>
      </c>
    </row>
    <row r="20" spans="1:142" x14ac:dyDescent="0.25">
      <c r="A20" s="279" t="s">
        <v>1641</v>
      </c>
      <c r="B20" s="281"/>
      <c r="C20" s="281"/>
      <c r="D20" s="281"/>
      <c r="E20" s="281"/>
      <c r="F20" s="281"/>
      <c r="G20" s="281"/>
      <c r="H20" s="281"/>
      <c r="I20" s="281"/>
      <c r="J20" s="281"/>
      <c r="K20" s="281"/>
      <c r="L20" s="281"/>
      <c r="M20" s="281"/>
      <c r="N20" s="281"/>
      <c r="O20" s="281"/>
      <c r="P20" s="281"/>
      <c r="Q20" s="281"/>
      <c r="R20" s="281"/>
      <c r="S20" s="281"/>
      <c r="T20" s="281"/>
      <c r="U20" s="281"/>
      <c r="V20" s="281"/>
      <c r="W20" s="281"/>
      <c r="X20" s="281"/>
      <c r="Y20" s="281"/>
      <c r="Z20" s="281"/>
      <c r="AA20" s="281"/>
      <c r="AB20" s="281"/>
      <c r="AC20" s="281"/>
      <c r="AD20" s="281"/>
      <c r="AE20" s="281"/>
      <c r="AF20" s="281"/>
      <c r="AG20" s="281"/>
      <c r="AH20" s="281"/>
      <c r="AI20" s="281"/>
      <c r="AJ20" s="281"/>
      <c r="AK20" s="281"/>
      <c r="AL20" s="281"/>
      <c r="AM20" s="281"/>
      <c r="AN20" s="281"/>
      <c r="AO20" s="281"/>
      <c r="AP20" s="281"/>
      <c r="AQ20" s="281"/>
      <c r="AR20" s="281"/>
      <c r="AS20" s="281"/>
      <c r="AT20" s="281"/>
      <c r="AU20" s="281"/>
      <c r="AV20" s="281"/>
      <c r="AW20" s="281"/>
      <c r="AX20" s="281"/>
      <c r="AY20" s="281"/>
      <c r="AZ20" s="281"/>
      <c r="BA20" s="281"/>
      <c r="BB20" s="281"/>
      <c r="BC20" s="281"/>
      <c r="BD20" s="281"/>
      <c r="BE20" s="281"/>
      <c r="BF20" s="281"/>
      <c r="BG20" s="281"/>
      <c r="BH20" s="281"/>
      <c r="BI20" s="281"/>
      <c r="BJ20" s="281"/>
      <c r="BK20" s="281"/>
      <c r="BL20" s="281"/>
      <c r="BM20" s="281">
        <v>27058.639307158493</v>
      </c>
      <c r="BN20" s="281"/>
      <c r="BO20" s="281"/>
      <c r="BP20" s="281"/>
      <c r="BQ20" s="281"/>
      <c r="BR20" s="281"/>
      <c r="BS20" s="281"/>
      <c r="BT20" s="281"/>
      <c r="BU20" s="281"/>
      <c r="BV20" s="281"/>
      <c r="BW20" s="281"/>
      <c r="BX20" s="281"/>
      <c r="BY20" s="281"/>
      <c r="BZ20" s="281"/>
      <c r="CA20" s="281"/>
      <c r="CB20" s="281"/>
      <c r="CC20" s="281"/>
      <c r="CD20" s="281"/>
      <c r="CE20" s="281"/>
      <c r="CF20" s="281"/>
      <c r="CG20" s="281"/>
      <c r="CH20" s="281"/>
      <c r="CI20" s="281"/>
      <c r="CJ20" s="281"/>
      <c r="CK20" s="281"/>
      <c r="CL20" s="281"/>
      <c r="CM20" s="281"/>
      <c r="CN20" s="281"/>
      <c r="CO20" s="281"/>
      <c r="CP20" s="281"/>
      <c r="CQ20" s="281"/>
      <c r="CR20" s="281"/>
      <c r="CS20" s="281"/>
      <c r="CT20" s="281"/>
      <c r="CU20" s="281"/>
      <c r="CV20" s="281"/>
      <c r="CW20" s="281"/>
      <c r="CX20" s="281"/>
      <c r="CY20" s="281"/>
      <c r="CZ20" s="281"/>
      <c r="DA20" s="281"/>
      <c r="DB20" s="281"/>
      <c r="DC20" s="281"/>
      <c r="DD20" s="281"/>
      <c r="DE20" s="281"/>
      <c r="DF20" s="281"/>
      <c r="DG20" s="281"/>
      <c r="DH20" s="281"/>
      <c r="DI20" s="281"/>
      <c r="DJ20" s="281"/>
      <c r="DK20" s="281"/>
      <c r="DL20" s="281"/>
      <c r="DM20" s="281"/>
      <c r="DN20" s="281"/>
      <c r="DO20" s="281"/>
      <c r="DP20" s="281"/>
      <c r="DQ20" s="281"/>
      <c r="DR20" s="281"/>
      <c r="DS20" s="281"/>
      <c r="DT20" s="281"/>
      <c r="DU20" s="281"/>
      <c r="DV20" s="281"/>
      <c r="DW20" s="281"/>
      <c r="DX20" s="281"/>
      <c r="DY20" s="281"/>
      <c r="DZ20" s="281"/>
      <c r="EA20" s="281"/>
      <c r="EB20" s="281"/>
      <c r="EC20" s="281"/>
      <c r="ED20" s="281"/>
      <c r="EE20" s="281"/>
      <c r="EF20" s="281"/>
      <c r="EG20" s="281"/>
      <c r="EH20" s="281"/>
      <c r="EI20" s="281"/>
      <c r="EJ20" s="281"/>
      <c r="EK20" s="281"/>
      <c r="EL20" s="281">
        <v>27058.639307158493</v>
      </c>
    </row>
    <row r="21" spans="1:142" x14ac:dyDescent="0.25">
      <c r="A21" s="279" t="s">
        <v>1640</v>
      </c>
      <c r="B21" s="281"/>
      <c r="C21" s="281"/>
      <c r="D21" s="281"/>
      <c r="E21" s="281"/>
      <c r="F21" s="281"/>
      <c r="G21" s="281"/>
      <c r="H21" s="281"/>
      <c r="I21" s="281"/>
      <c r="J21" s="281"/>
      <c r="K21" s="281"/>
      <c r="L21" s="281"/>
      <c r="M21" s="281"/>
      <c r="N21" s="281"/>
      <c r="O21" s="281"/>
      <c r="P21" s="281"/>
      <c r="Q21" s="281"/>
      <c r="R21" s="281"/>
      <c r="S21" s="281"/>
      <c r="T21" s="281"/>
      <c r="U21" s="281"/>
      <c r="V21" s="281"/>
      <c r="W21" s="281"/>
      <c r="X21" s="281"/>
      <c r="Y21" s="281"/>
      <c r="Z21" s="281"/>
      <c r="AA21" s="281"/>
      <c r="AB21" s="281"/>
      <c r="AC21" s="281"/>
      <c r="AD21" s="281"/>
      <c r="AE21" s="281"/>
      <c r="AF21" s="281"/>
      <c r="AG21" s="281"/>
      <c r="AH21" s="281"/>
      <c r="AI21" s="281"/>
      <c r="AJ21" s="281"/>
      <c r="AK21" s="281"/>
      <c r="AL21" s="281"/>
      <c r="AM21" s="281"/>
      <c r="AN21" s="281"/>
      <c r="AO21" s="281"/>
      <c r="AP21" s="281"/>
      <c r="AQ21" s="281"/>
      <c r="AR21" s="281"/>
      <c r="AS21" s="281"/>
      <c r="AT21" s="281"/>
      <c r="AU21" s="281"/>
      <c r="AV21" s="281"/>
      <c r="AW21" s="281"/>
      <c r="AX21" s="281"/>
      <c r="AY21" s="281"/>
      <c r="AZ21" s="281"/>
      <c r="BA21" s="281"/>
      <c r="BB21" s="281"/>
      <c r="BC21" s="281"/>
      <c r="BD21" s="281"/>
      <c r="BE21" s="281"/>
      <c r="BF21" s="281"/>
      <c r="BG21" s="281"/>
      <c r="BH21" s="281"/>
      <c r="BI21" s="281"/>
      <c r="BJ21" s="281"/>
      <c r="BK21" s="281"/>
      <c r="BL21" s="281"/>
      <c r="BM21" s="281"/>
      <c r="BN21" s="281">
        <v>43502.883350147538</v>
      </c>
      <c r="BO21" s="281"/>
      <c r="BP21" s="281"/>
      <c r="BQ21" s="281"/>
      <c r="BR21" s="281"/>
      <c r="BS21" s="281"/>
      <c r="BT21" s="281"/>
      <c r="BU21" s="281"/>
      <c r="BV21" s="281"/>
      <c r="BW21" s="281"/>
      <c r="BX21" s="281"/>
      <c r="BY21" s="281"/>
      <c r="BZ21" s="281"/>
      <c r="CA21" s="281"/>
      <c r="CB21" s="281"/>
      <c r="CC21" s="281"/>
      <c r="CD21" s="281"/>
      <c r="CE21" s="281"/>
      <c r="CF21" s="281"/>
      <c r="CG21" s="281"/>
      <c r="CH21" s="281"/>
      <c r="CI21" s="281"/>
      <c r="CJ21" s="281"/>
      <c r="CK21" s="281"/>
      <c r="CL21" s="281"/>
      <c r="CM21" s="281"/>
      <c r="CN21" s="281"/>
      <c r="CO21" s="281"/>
      <c r="CP21" s="281"/>
      <c r="CQ21" s="281"/>
      <c r="CR21" s="281"/>
      <c r="CS21" s="281"/>
      <c r="CT21" s="281"/>
      <c r="CU21" s="281"/>
      <c r="CV21" s="281"/>
      <c r="CW21" s="281"/>
      <c r="CX21" s="281"/>
      <c r="CY21" s="281"/>
      <c r="CZ21" s="281"/>
      <c r="DA21" s="281"/>
      <c r="DB21" s="281"/>
      <c r="DC21" s="281"/>
      <c r="DD21" s="281"/>
      <c r="DE21" s="281"/>
      <c r="DF21" s="281"/>
      <c r="DG21" s="281"/>
      <c r="DH21" s="281"/>
      <c r="DI21" s="281"/>
      <c r="DJ21" s="281"/>
      <c r="DK21" s="281"/>
      <c r="DL21" s="281"/>
      <c r="DM21" s="281"/>
      <c r="DN21" s="281"/>
      <c r="DO21" s="281"/>
      <c r="DP21" s="281"/>
      <c r="DQ21" s="281"/>
      <c r="DR21" s="281"/>
      <c r="DS21" s="281"/>
      <c r="DT21" s="281"/>
      <c r="DU21" s="281"/>
      <c r="DV21" s="281"/>
      <c r="DW21" s="281"/>
      <c r="DX21" s="281"/>
      <c r="DY21" s="281"/>
      <c r="DZ21" s="281"/>
      <c r="EA21" s="281"/>
      <c r="EB21" s="281"/>
      <c r="EC21" s="281"/>
      <c r="ED21" s="281"/>
      <c r="EE21" s="281"/>
      <c r="EF21" s="281"/>
      <c r="EG21" s="281"/>
      <c r="EH21" s="281"/>
      <c r="EI21" s="281"/>
      <c r="EJ21" s="281"/>
      <c r="EK21" s="281"/>
      <c r="EL21" s="281">
        <v>43502.883350147538</v>
      </c>
    </row>
    <row r="22" spans="1:142" x14ac:dyDescent="0.25">
      <c r="A22" s="279" t="s">
        <v>1639</v>
      </c>
      <c r="B22" s="281"/>
      <c r="C22" s="281"/>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1"/>
      <c r="AS22" s="281"/>
      <c r="AT22" s="281"/>
      <c r="AU22" s="281"/>
      <c r="AV22" s="281"/>
      <c r="AW22" s="281"/>
      <c r="AX22" s="281"/>
      <c r="AY22" s="281"/>
      <c r="AZ22" s="281"/>
      <c r="BA22" s="281"/>
      <c r="BB22" s="281"/>
      <c r="BC22" s="281"/>
      <c r="BD22" s="281"/>
      <c r="BE22" s="281"/>
      <c r="BF22" s="281"/>
      <c r="BG22" s="281"/>
      <c r="BH22" s="281"/>
      <c r="BI22" s="281"/>
      <c r="BJ22" s="281"/>
      <c r="BK22" s="281"/>
      <c r="BL22" s="281"/>
      <c r="BM22" s="281"/>
      <c r="BN22" s="281"/>
      <c r="BO22" s="281">
        <v>8783.8423196454842</v>
      </c>
      <c r="BP22" s="281"/>
      <c r="BQ22" s="281"/>
      <c r="BR22" s="281"/>
      <c r="BS22" s="281"/>
      <c r="BT22" s="281"/>
      <c r="BU22" s="281"/>
      <c r="BV22" s="281"/>
      <c r="BW22" s="281"/>
      <c r="BX22" s="281"/>
      <c r="BY22" s="281"/>
      <c r="BZ22" s="281"/>
      <c r="CA22" s="281"/>
      <c r="CB22" s="281"/>
      <c r="CC22" s="281"/>
      <c r="CD22" s="281"/>
      <c r="CE22" s="281"/>
      <c r="CF22" s="281"/>
      <c r="CG22" s="281"/>
      <c r="CH22" s="281"/>
      <c r="CI22" s="281"/>
      <c r="CJ22" s="281"/>
      <c r="CK22" s="281"/>
      <c r="CL22" s="281"/>
      <c r="CM22" s="281"/>
      <c r="CN22" s="281"/>
      <c r="CO22" s="281"/>
      <c r="CP22" s="281"/>
      <c r="CQ22" s="281"/>
      <c r="CR22" s="281"/>
      <c r="CS22" s="281"/>
      <c r="CT22" s="281"/>
      <c r="CU22" s="281"/>
      <c r="CV22" s="281"/>
      <c r="CW22" s="281"/>
      <c r="CX22" s="281"/>
      <c r="CY22" s="281"/>
      <c r="CZ22" s="281"/>
      <c r="DA22" s="281"/>
      <c r="DB22" s="281"/>
      <c r="DC22" s="281"/>
      <c r="DD22" s="281"/>
      <c r="DE22" s="281"/>
      <c r="DF22" s="281"/>
      <c r="DG22" s="281"/>
      <c r="DH22" s="281"/>
      <c r="DI22" s="281"/>
      <c r="DJ22" s="281"/>
      <c r="DK22" s="281"/>
      <c r="DL22" s="281"/>
      <c r="DM22" s="281"/>
      <c r="DN22" s="281"/>
      <c r="DO22" s="281"/>
      <c r="DP22" s="281"/>
      <c r="DQ22" s="281"/>
      <c r="DR22" s="281"/>
      <c r="DS22" s="281"/>
      <c r="DT22" s="281"/>
      <c r="DU22" s="281"/>
      <c r="DV22" s="281"/>
      <c r="DW22" s="281"/>
      <c r="DX22" s="281"/>
      <c r="DY22" s="281"/>
      <c r="DZ22" s="281"/>
      <c r="EA22" s="281"/>
      <c r="EB22" s="281"/>
      <c r="EC22" s="281"/>
      <c r="ED22" s="281"/>
      <c r="EE22" s="281"/>
      <c r="EF22" s="281"/>
      <c r="EG22" s="281"/>
      <c r="EH22" s="281"/>
      <c r="EI22" s="281"/>
      <c r="EJ22" s="281"/>
      <c r="EK22" s="281"/>
      <c r="EL22" s="281">
        <v>8783.8423196454842</v>
      </c>
    </row>
    <row r="23" spans="1:142" x14ac:dyDescent="0.25">
      <c r="A23" s="279" t="s">
        <v>1638</v>
      </c>
      <c r="B23" s="281"/>
      <c r="C23" s="281"/>
      <c r="D23" s="281"/>
      <c r="E23" s="281"/>
      <c r="F23" s="281"/>
      <c r="G23" s="281"/>
      <c r="H23" s="281"/>
      <c r="I23" s="281"/>
      <c r="J23" s="281"/>
      <c r="K23" s="281"/>
      <c r="L23" s="281"/>
      <c r="M23" s="281"/>
      <c r="N23" s="281"/>
      <c r="O23" s="281"/>
      <c r="P23" s="281"/>
      <c r="Q23" s="281"/>
      <c r="R23" s="281"/>
      <c r="S23" s="281"/>
      <c r="T23" s="281"/>
      <c r="U23" s="281"/>
      <c r="V23" s="281"/>
      <c r="W23" s="281"/>
      <c r="X23" s="281"/>
      <c r="Y23" s="281"/>
      <c r="Z23" s="281"/>
      <c r="AA23" s="281"/>
      <c r="AB23" s="281"/>
      <c r="AC23" s="281"/>
      <c r="AD23" s="281"/>
      <c r="AE23" s="281"/>
      <c r="AF23" s="281"/>
      <c r="AG23" s="281"/>
      <c r="AH23" s="281"/>
      <c r="AI23" s="281"/>
      <c r="AJ23" s="281"/>
      <c r="AK23" s="281"/>
      <c r="AL23" s="281"/>
      <c r="AM23" s="281"/>
      <c r="AN23" s="281"/>
      <c r="AO23" s="281"/>
      <c r="AP23" s="281"/>
      <c r="AQ23" s="281"/>
      <c r="AR23" s="281"/>
      <c r="AS23" s="281"/>
      <c r="AT23" s="281"/>
      <c r="AU23" s="281"/>
      <c r="AV23" s="281"/>
      <c r="AW23" s="281"/>
      <c r="AX23" s="281"/>
      <c r="AY23" s="281"/>
      <c r="AZ23" s="281"/>
      <c r="BA23" s="281"/>
      <c r="BB23" s="281"/>
      <c r="BC23" s="281"/>
      <c r="BD23" s="281"/>
      <c r="BE23" s="281"/>
      <c r="BF23" s="281"/>
      <c r="BG23" s="281"/>
      <c r="BH23" s="281"/>
      <c r="BI23" s="281"/>
      <c r="BJ23" s="281"/>
      <c r="BK23" s="281"/>
      <c r="BL23" s="281"/>
      <c r="BM23" s="281"/>
      <c r="BN23" s="281"/>
      <c r="BO23" s="281"/>
      <c r="BP23" s="281">
        <v>8710.7120316860164</v>
      </c>
      <c r="BQ23" s="281"/>
      <c r="BR23" s="281"/>
      <c r="BS23" s="281"/>
      <c r="BT23" s="281"/>
      <c r="BU23" s="281"/>
      <c r="BV23" s="281"/>
      <c r="BW23" s="281"/>
      <c r="BX23" s="281"/>
      <c r="BY23" s="281"/>
      <c r="BZ23" s="281"/>
      <c r="CA23" s="281"/>
      <c r="CB23" s="281"/>
      <c r="CC23" s="281"/>
      <c r="CD23" s="281"/>
      <c r="CE23" s="281"/>
      <c r="CF23" s="281"/>
      <c r="CG23" s="281"/>
      <c r="CH23" s="281"/>
      <c r="CI23" s="281"/>
      <c r="CJ23" s="281"/>
      <c r="CK23" s="281"/>
      <c r="CL23" s="281"/>
      <c r="CM23" s="281"/>
      <c r="CN23" s="281"/>
      <c r="CO23" s="281"/>
      <c r="CP23" s="281"/>
      <c r="CQ23" s="281"/>
      <c r="CR23" s="281"/>
      <c r="CS23" s="281"/>
      <c r="CT23" s="281"/>
      <c r="CU23" s="281"/>
      <c r="CV23" s="281"/>
      <c r="CW23" s="281"/>
      <c r="CX23" s="281"/>
      <c r="CY23" s="281"/>
      <c r="CZ23" s="281"/>
      <c r="DA23" s="281"/>
      <c r="DB23" s="281"/>
      <c r="DC23" s="281"/>
      <c r="DD23" s="281"/>
      <c r="DE23" s="281"/>
      <c r="DF23" s="281"/>
      <c r="DG23" s="281"/>
      <c r="DH23" s="281"/>
      <c r="DI23" s="281"/>
      <c r="DJ23" s="281"/>
      <c r="DK23" s="281"/>
      <c r="DL23" s="281"/>
      <c r="DM23" s="281"/>
      <c r="DN23" s="281"/>
      <c r="DO23" s="281"/>
      <c r="DP23" s="281"/>
      <c r="DQ23" s="281"/>
      <c r="DR23" s="281"/>
      <c r="DS23" s="281"/>
      <c r="DT23" s="281"/>
      <c r="DU23" s="281"/>
      <c r="DV23" s="281"/>
      <c r="DW23" s="281"/>
      <c r="DX23" s="281"/>
      <c r="DY23" s="281"/>
      <c r="DZ23" s="281"/>
      <c r="EA23" s="281"/>
      <c r="EB23" s="281"/>
      <c r="EC23" s="281"/>
      <c r="ED23" s="281"/>
      <c r="EE23" s="281"/>
      <c r="EF23" s="281"/>
      <c r="EG23" s="281"/>
      <c r="EH23" s="281"/>
      <c r="EI23" s="281"/>
      <c r="EJ23" s="281"/>
      <c r="EK23" s="281"/>
      <c r="EL23" s="281">
        <v>8710.7120316860164</v>
      </c>
    </row>
    <row r="24" spans="1:142" x14ac:dyDescent="0.25">
      <c r="A24" s="279" t="s">
        <v>1637</v>
      </c>
      <c r="B24" s="281"/>
      <c r="C24" s="281"/>
      <c r="D24" s="281"/>
      <c r="E24" s="281"/>
      <c r="F24" s="281"/>
      <c r="G24" s="281"/>
      <c r="H24" s="281"/>
      <c r="I24" s="281"/>
      <c r="J24" s="281"/>
      <c r="K24" s="281"/>
      <c r="L24" s="281"/>
      <c r="M24" s="281"/>
      <c r="N24" s="281"/>
      <c r="O24" s="281"/>
      <c r="P24" s="281"/>
      <c r="Q24" s="281"/>
      <c r="R24" s="281"/>
      <c r="S24" s="281"/>
      <c r="T24" s="281"/>
      <c r="U24" s="281"/>
      <c r="V24" s="281"/>
      <c r="W24" s="281"/>
      <c r="X24" s="281"/>
      <c r="Y24" s="281"/>
      <c r="Z24" s="281"/>
      <c r="AA24" s="281"/>
      <c r="AB24" s="281"/>
      <c r="AC24" s="281"/>
      <c r="AD24" s="281"/>
      <c r="AE24" s="281"/>
      <c r="AF24" s="281"/>
      <c r="AG24" s="281"/>
      <c r="AH24" s="281"/>
      <c r="AI24" s="281"/>
      <c r="AJ24" s="281"/>
      <c r="AK24" s="281"/>
      <c r="AL24" s="281"/>
      <c r="AM24" s="281"/>
      <c r="AN24" s="281"/>
      <c r="AO24" s="281"/>
      <c r="AP24" s="281"/>
      <c r="AQ24" s="281"/>
      <c r="AR24" s="281"/>
      <c r="AS24" s="281"/>
      <c r="AT24" s="281"/>
      <c r="AU24" s="281"/>
      <c r="AV24" s="281"/>
      <c r="AW24" s="281"/>
      <c r="AX24" s="281"/>
      <c r="AY24" s="281"/>
      <c r="AZ24" s="281"/>
      <c r="BA24" s="281"/>
      <c r="BB24" s="281"/>
      <c r="BC24" s="281"/>
      <c r="BD24" s="281"/>
      <c r="BE24" s="281"/>
      <c r="BF24" s="281"/>
      <c r="BG24" s="281"/>
      <c r="BH24" s="281"/>
      <c r="BI24" s="281"/>
      <c r="BJ24" s="281"/>
      <c r="BK24" s="281"/>
      <c r="BL24" s="281"/>
      <c r="BM24" s="281"/>
      <c r="BN24" s="281"/>
      <c r="BO24" s="281"/>
      <c r="BP24" s="281"/>
      <c r="BQ24" s="281">
        <v>44160.074473262706</v>
      </c>
      <c r="BR24" s="281"/>
      <c r="BS24" s="281"/>
      <c r="BT24" s="281"/>
      <c r="BU24" s="281"/>
      <c r="BV24" s="281"/>
      <c r="BW24" s="281"/>
      <c r="BX24" s="281"/>
      <c r="BY24" s="281"/>
      <c r="BZ24" s="281"/>
      <c r="CA24" s="281"/>
      <c r="CB24" s="281"/>
      <c r="CC24" s="281"/>
      <c r="CD24" s="281"/>
      <c r="CE24" s="281"/>
      <c r="CF24" s="281"/>
      <c r="CG24" s="281"/>
      <c r="CH24" s="281"/>
      <c r="CI24" s="281"/>
      <c r="CJ24" s="281"/>
      <c r="CK24" s="281"/>
      <c r="CL24" s="281"/>
      <c r="CM24" s="281"/>
      <c r="CN24" s="281"/>
      <c r="CO24" s="281"/>
      <c r="CP24" s="281"/>
      <c r="CQ24" s="281"/>
      <c r="CR24" s="281"/>
      <c r="CS24" s="281"/>
      <c r="CT24" s="281"/>
      <c r="CU24" s="281"/>
      <c r="CV24" s="281"/>
      <c r="CW24" s="281"/>
      <c r="CX24" s="281"/>
      <c r="CY24" s="281"/>
      <c r="CZ24" s="281"/>
      <c r="DA24" s="281"/>
      <c r="DB24" s="281"/>
      <c r="DC24" s="281"/>
      <c r="DD24" s="281"/>
      <c r="DE24" s="281"/>
      <c r="DF24" s="281"/>
      <c r="DG24" s="281"/>
      <c r="DH24" s="281"/>
      <c r="DI24" s="281"/>
      <c r="DJ24" s="281"/>
      <c r="DK24" s="281"/>
      <c r="DL24" s="281"/>
      <c r="DM24" s="281"/>
      <c r="DN24" s="281"/>
      <c r="DO24" s="281"/>
      <c r="DP24" s="281"/>
      <c r="DQ24" s="281"/>
      <c r="DR24" s="281"/>
      <c r="DS24" s="281"/>
      <c r="DT24" s="281"/>
      <c r="DU24" s="281"/>
      <c r="DV24" s="281"/>
      <c r="DW24" s="281"/>
      <c r="DX24" s="281"/>
      <c r="DY24" s="281"/>
      <c r="DZ24" s="281"/>
      <c r="EA24" s="281"/>
      <c r="EB24" s="281"/>
      <c r="EC24" s="281"/>
      <c r="ED24" s="281"/>
      <c r="EE24" s="281"/>
      <c r="EF24" s="281"/>
      <c r="EG24" s="281"/>
      <c r="EH24" s="281"/>
      <c r="EI24" s="281"/>
      <c r="EJ24" s="281"/>
      <c r="EK24" s="281"/>
      <c r="EL24" s="281">
        <v>44160.074473262706</v>
      </c>
    </row>
    <row r="25" spans="1:142" x14ac:dyDescent="0.25">
      <c r="A25" s="279" t="s">
        <v>1636</v>
      </c>
      <c r="B25" s="281"/>
      <c r="C25" s="281"/>
      <c r="D25" s="281"/>
      <c r="E25" s="281"/>
      <c r="F25" s="281"/>
      <c r="G25" s="281"/>
      <c r="H25" s="281"/>
      <c r="I25" s="281"/>
      <c r="J25" s="281"/>
      <c r="K25" s="281"/>
      <c r="L25" s="281"/>
      <c r="M25" s="281"/>
      <c r="N25" s="281"/>
      <c r="O25" s="281"/>
      <c r="P25" s="281"/>
      <c r="Q25" s="281"/>
      <c r="R25" s="281"/>
      <c r="S25" s="281"/>
      <c r="T25" s="281"/>
      <c r="U25" s="281"/>
      <c r="V25" s="281"/>
      <c r="W25" s="281"/>
      <c r="X25" s="281"/>
      <c r="Y25" s="281"/>
      <c r="Z25" s="281"/>
      <c r="AA25" s="281"/>
      <c r="AB25" s="281"/>
      <c r="AC25" s="281"/>
      <c r="AD25" s="281"/>
      <c r="AE25" s="281"/>
      <c r="AF25" s="281"/>
      <c r="AG25" s="281"/>
      <c r="AH25" s="281"/>
      <c r="AI25" s="281"/>
      <c r="AJ25" s="281"/>
      <c r="AK25" s="281"/>
      <c r="AL25" s="281"/>
      <c r="AM25" s="281"/>
      <c r="AN25" s="281"/>
      <c r="AO25" s="281"/>
      <c r="AP25" s="281"/>
      <c r="AQ25" s="281"/>
      <c r="AR25" s="281"/>
      <c r="AS25" s="281"/>
      <c r="AT25" s="281"/>
      <c r="AU25" s="281"/>
      <c r="AV25" s="281"/>
      <c r="AW25" s="281"/>
      <c r="AX25" s="281"/>
      <c r="AY25" s="281"/>
      <c r="AZ25" s="281"/>
      <c r="BA25" s="281"/>
      <c r="BB25" s="281"/>
      <c r="BC25" s="281"/>
      <c r="BD25" s="281"/>
      <c r="BE25" s="281"/>
      <c r="BF25" s="281"/>
      <c r="BG25" s="281"/>
      <c r="BH25" s="281"/>
      <c r="BI25" s="281"/>
      <c r="BJ25" s="281"/>
      <c r="BK25" s="281"/>
      <c r="BL25" s="281"/>
      <c r="BM25" s="281"/>
      <c r="BN25" s="281"/>
      <c r="BO25" s="281"/>
      <c r="BP25" s="281"/>
      <c r="BQ25" s="281"/>
      <c r="BR25" s="281">
        <v>75485.287898324154</v>
      </c>
      <c r="BS25" s="281"/>
      <c r="BT25" s="281"/>
      <c r="BU25" s="281"/>
      <c r="BV25" s="281"/>
      <c r="BW25" s="281"/>
      <c r="BX25" s="281"/>
      <c r="BY25" s="281"/>
      <c r="BZ25" s="281"/>
      <c r="CA25" s="281"/>
      <c r="CB25" s="281"/>
      <c r="CC25" s="281"/>
      <c r="CD25" s="281"/>
      <c r="CE25" s="281"/>
      <c r="CF25" s="281"/>
      <c r="CG25" s="281"/>
      <c r="CH25" s="281"/>
      <c r="CI25" s="281"/>
      <c r="CJ25" s="281"/>
      <c r="CK25" s="281"/>
      <c r="CL25" s="281"/>
      <c r="CM25" s="281"/>
      <c r="CN25" s="281"/>
      <c r="CO25" s="281"/>
      <c r="CP25" s="281"/>
      <c r="CQ25" s="281"/>
      <c r="CR25" s="281"/>
      <c r="CS25" s="281"/>
      <c r="CT25" s="281"/>
      <c r="CU25" s="281"/>
      <c r="CV25" s="281"/>
      <c r="CW25" s="281"/>
      <c r="CX25" s="281"/>
      <c r="CY25" s="281"/>
      <c r="CZ25" s="281"/>
      <c r="DA25" s="281"/>
      <c r="DB25" s="281"/>
      <c r="DC25" s="281"/>
      <c r="DD25" s="281"/>
      <c r="DE25" s="281"/>
      <c r="DF25" s="281"/>
      <c r="DG25" s="281"/>
      <c r="DH25" s="281"/>
      <c r="DI25" s="281"/>
      <c r="DJ25" s="281"/>
      <c r="DK25" s="281"/>
      <c r="DL25" s="281"/>
      <c r="DM25" s="281"/>
      <c r="DN25" s="281"/>
      <c r="DO25" s="281"/>
      <c r="DP25" s="281"/>
      <c r="DQ25" s="281"/>
      <c r="DR25" s="281"/>
      <c r="DS25" s="281"/>
      <c r="DT25" s="281"/>
      <c r="DU25" s="281"/>
      <c r="DV25" s="281"/>
      <c r="DW25" s="281"/>
      <c r="DX25" s="281"/>
      <c r="DY25" s="281"/>
      <c r="DZ25" s="281"/>
      <c r="EA25" s="281"/>
      <c r="EB25" s="281"/>
      <c r="EC25" s="281"/>
      <c r="ED25" s="281"/>
      <c r="EE25" s="281"/>
      <c r="EF25" s="281"/>
      <c r="EG25" s="281"/>
      <c r="EH25" s="281"/>
      <c r="EI25" s="281"/>
      <c r="EJ25" s="281"/>
      <c r="EK25" s="281"/>
      <c r="EL25" s="281">
        <v>75485.287898324154</v>
      </c>
    </row>
    <row r="26" spans="1:142" x14ac:dyDescent="0.25">
      <c r="A26" s="279" t="s">
        <v>1635</v>
      </c>
      <c r="B26" s="281"/>
      <c r="C26" s="281"/>
      <c r="D26" s="281"/>
      <c r="E26" s="281"/>
      <c r="F26" s="281"/>
      <c r="G26" s="281"/>
      <c r="H26" s="281"/>
      <c r="I26" s="281"/>
      <c r="J26" s="281"/>
      <c r="K26" s="281"/>
      <c r="L26" s="281"/>
      <c r="M26" s="281"/>
      <c r="N26" s="281"/>
      <c r="O26" s="281"/>
      <c r="P26" s="281"/>
      <c r="Q26" s="281"/>
      <c r="R26" s="281"/>
      <c r="S26" s="281"/>
      <c r="T26" s="281"/>
      <c r="U26" s="281"/>
      <c r="V26" s="281"/>
      <c r="W26" s="281"/>
      <c r="X26" s="281"/>
      <c r="Y26" s="281"/>
      <c r="Z26" s="281"/>
      <c r="AA26" s="281"/>
      <c r="AB26" s="281"/>
      <c r="AC26" s="281"/>
      <c r="AD26" s="281"/>
      <c r="AE26" s="281"/>
      <c r="AF26" s="281"/>
      <c r="AG26" s="281"/>
      <c r="AH26" s="281"/>
      <c r="AI26" s="281"/>
      <c r="AJ26" s="281"/>
      <c r="AK26" s="281"/>
      <c r="AL26" s="281"/>
      <c r="AM26" s="281"/>
      <c r="AN26" s="281"/>
      <c r="AO26" s="281"/>
      <c r="AP26" s="281"/>
      <c r="AQ26" s="281"/>
      <c r="AR26" s="281"/>
      <c r="AS26" s="281"/>
      <c r="AT26" s="281"/>
      <c r="AU26" s="281"/>
      <c r="AV26" s="281"/>
      <c r="AW26" s="281"/>
      <c r="AX26" s="281"/>
      <c r="AY26" s="281"/>
      <c r="AZ26" s="281"/>
      <c r="BA26" s="281"/>
      <c r="BB26" s="281"/>
      <c r="BC26" s="281"/>
      <c r="BD26" s="281"/>
      <c r="BE26" s="281"/>
      <c r="BF26" s="281"/>
      <c r="BG26" s="281"/>
      <c r="BH26" s="281"/>
      <c r="BI26" s="281"/>
      <c r="BJ26" s="281"/>
      <c r="BK26" s="281"/>
      <c r="BL26" s="281"/>
      <c r="BM26" s="281"/>
      <c r="BN26" s="281"/>
      <c r="BO26" s="281"/>
      <c r="BP26" s="281"/>
      <c r="BQ26" s="281"/>
      <c r="BR26" s="281"/>
      <c r="BS26" s="281">
        <v>41840.768385576797</v>
      </c>
      <c r="BT26" s="281"/>
      <c r="BU26" s="281"/>
      <c r="BV26" s="281"/>
      <c r="BW26" s="281"/>
      <c r="BX26" s="281"/>
      <c r="BY26" s="281"/>
      <c r="BZ26" s="281"/>
      <c r="CA26" s="281"/>
      <c r="CB26" s="281"/>
      <c r="CC26" s="281"/>
      <c r="CD26" s="281"/>
      <c r="CE26" s="281"/>
      <c r="CF26" s="281"/>
      <c r="CG26" s="281"/>
      <c r="CH26" s="281"/>
      <c r="CI26" s="281"/>
      <c r="CJ26" s="281"/>
      <c r="CK26" s="281"/>
      <c r="CL26" s="281"/>
      <c r="CM26" s="281"/>
      <c r="CN26" s="281"/>
      <c r="CO26" s="281"/>
      <c r="CP26" s="281"/>
      <c r="CQ26" s="281"/>
      <c r="CR26" s="281"/>
      <c r="CS26" s="281"/>
      <c r="CT26" s="281"/>
      <c r="CU26" s="281"/>
      <c r="CV26" s="281"/>
      <c r="CW26" s="281"/>
      <c r="CX26" s="281"/>
      <c r="CY26" s="281"/>
      <c r="CZ26" s="281"/>
      <c r="DA26" s="281"/>
      <c r="DB26" s="281"/>
      <c r="DC26" s="281"/>
      <c r="DD26" s="281"/>
      <c r="DE26" s="281"/>
      <c r="DF26" s="281"/>
      <c r="DG26" s="281"/>
      <c r="DH26" s="281"/>
      <c r="DI26" s="281"/>
      <c r="DJ26" s="281"/>
      <c r="DK26" s="281"/>
      <c r="DL26" s="281"/>
      <c r="DM26" s="281"/>
      <c r="DN26" s="281"/>
      <c r="DO26" s="281"/>
      <c r="DP26" s="281"/>
      <c r="DQ26" s="281"/>
      <c r="DR26" s="281"/>
      <c r="DS26" s="281"/>
      <c r="DT26" s="281"/>
      <c r="DU26" s="281"/>
      <c r="DV26" s="281"/>
      <c r="DW26" s="281"/>
      <c r="DX26" s="281"/>
      <c r="DY26" s="281"/>
      <c r="DZ26" s="281"/>
      <c r="EA26" s="281"/>
      <c r="EB26" s="281"/>
      <c r="EC26" s="281"/>
      <c r="ED26" s="281"/>
      <c r="EE26" s="281"/>
      <c r="EF26" s="281"/>
      <c r="EG26" s="281"/>
      <c r="EH26" s="281"/>
      <c r="EI26" s="281"/>
      <c r="EJ26" s="281"/>
      <c r="EK26" s="281"/>
      <c r="EL26" s="281">
        <v>41840.768385576797</v>
      </c>
    </row>
    <row r="27" spans="1:142" x14ac:dyDescent="0.25">
      <c r="A27" s="279" t="s">
        <v>1634</v>
      </c>
      <c r="B27" s="281"/>
      <c r="C27" s="281"/>
      <c r="D27" s="281"/>
      <c r="E27" s="281"/>
      <c r="F27" s="281"/>
      <c r="G27" s="281"/>
      <c r="H27" s="281"/>
      <c r="I27" s="281"/>
      <c r="J27" s="281"/>
      <c r="K27" s="281"/>
      <c r="L27" s="281"/>
      <c r="M27" s="281"/>
      <c r="N27" s="281"/>
      <c r="O27" s="281"/>
      <c r="P27" s="281"/>
      <c r="Q27" s="281"/>
      <c r="R27" s="281"/>
      <c r="S27" s="281"/>
      <c r="T27" s="281"/>
      <c r="U27" s="281"/>
      <c r="V27" s="281"/>
      <c r="W27" s="281"/>
      <c r="X27" s="281"/>
      <c r="Y27" s="281"/>
      <c r="Z27" s="281"/>
      <c r="AA27" s="281"/>
      <c r="AB27" s="281"/>
      <c r="AC27" s="281"/>
      <c r="AD27" s="281"/>
      <c r="AE27" s="281"/>
      <c r="AF27" s="281"/>
      <c r="AG27" s="281"/>
      <c r="AH27" s="281"/>
      <c r="AI27" s="281"/>
      <c r="AJ27" s="281"/>
      <c r="AK27" s="281"/>
      <c r="AL27" s="281"/>
      <c r="AM27" s="281"/>
      <c r="AN27" s="281"/>
      <c r="AO27" s="281"/>
      <c r="AP27" s="281"/>
      <c r="AQ27" s="281"/>
      <c r="AR27" s="281"/>
      <c r="AS27" s="281"/>
      <c r="AT27" s="281"/>
      <c r="AU27" s="281"/>
      <c r="AV27" s="281"/>
      <c r="AW27" s="281"/>
      <c r="AX27" s="281"/>
      <c r="AY27" s="281"/>
      <c r="AZ27" s="281"/>
      <c r="BA27" s="281"/>
      <c r="BB27" s="281"/>
      <c r="BC27" s="281"/>
      <c r="BD27" s="281"/>
      <c r="BE27" s="281"/>
      <c r="BF27" s="281"/>
      <c r="BG27" s="281"/>
      <c r="BH27" s="281"/>
      <c r="BI27" s="281"/>
      <c r="BJ27" s="281"/>
      <c r="BK27" s="281"/>
      <c r="BL27" s="281"/>
      <c r="BM27" s="281"/>
      <c r="BN27" s="281"/>
      <c r="BO27" s="281"/>
      <c r="BP27" s="281"/>
      <c r="BQ27" s="281"/>
      <c r="BR27" s="281"/>
      <c r="BS27" s="281"/>
      <c r="BT27" s="281">
        <v>66798.947192486798</v>
      </c>
      <c r="BU27" s="281">
        <v>62229.573188161041</v>
      </c>
      <c r="BV27" s="281">
        <v>14431.075661240538</v>
      </c>
      <c r="BW27" s="281"/>
      <c r="BX27" s="281"/>
      <c r="BY27" s="281"/>
      <c r="BZ27" s="281"/>
      <c r="CA27" s="281"/>
      <c r="CB27" s="281"/>
      <c r="CC27" s="281"/>
      <c r="CD27" s="281"/>
      <c r="CE27" s="281"/>
      <c r="CF27" s="281"/>
      <c r="CG27" s="281"/>
      <c r="CH27" s="281"/>
      <c r="CI27" s="281"/>
      <c r="CJ27" s="281"/>
      <c r="CK27" s="281"/>
      <c r="CL27" s="281"/>
      <c r="CM27" s="281"/>
      <c r="CN27" s="281"/>
      <c r="CO27" s="281"/>
      <c r="CP27" s="281"/>
      <c r="CQ27" s="281"/>
      <c r="CR27" s="281"/>
      <c r="CS27" s="281"/>
      <c r="CT27" s="281"/>
      <c r="CU27" s="281"/>
      <c r="CV27" s="281"/>
      <c r="CW27" s="281"/>
      <c r="CX27" s="281"/>
      <c r="CY27" s="281"/>
      <c r="CZ27" s="281"/>
      <c r="DA27" s="281"/>
      <c r="DB27" s="281"/>
      <c r="DC27" s="281"/>
      <c r="DD27" s="281"/>
      <c r="DE27" s="281"/>
      <c r="DF27" s="281"/>
      <c r="DG27" s="281"/>
      <c r="DH27" s="281"/>
      <c r="DI27" s="281"/>
      <c r="DJ27" s="281"/>
      <c r="DK27" s="281"/>
      <c r="DL27" s="281"/>
      <c r="DM27" s="281"/>
      <c r="DN27" s="281"/>
      <c r="DO27" s="281"/>
      <c r="DP27" s="281"/>
      <c r="DQ27" s="281"/>
      <c r="DR27" s="281"/>
      <c r="DS27" s="281"/>
      <c r="DT27" s="281"/>
      <c r="DU27" s="281"/>
      <c r="DV27" s="281"/>
      <c r="DW27" s="281"/>
      <c r="DX27" s="281"/>
      <c r="DY27" s="281"/>
      <c r="DZ27" s="281"/>
      <c r="EA27" s="281"/>
      <c r="EB27" s="281"/>
      <c r="EC27" s="281"/>
      <c r="ED27" s="281"/>
      <c r="EE27" s="281"/>
      <c r="EF27" s="281"/>
      <c r="EG27" s="281"/>
      <c r="EH27" s="281"/>
      <c r="EI27" s="281"/>
      <c r="EJ27" s="281"/>
      <c r="EK27" s="281"/>
      <c r="EL27" s="281">
        <v>143459.59604188838</v>
      </c>
    </row>
    <row r="28" spans="1:142" x14ac:dyDescent="0.25">
      <c r="A28" s="279" t="s">
        <v>1633</v>
      </c>
      <c r="B28" s="281"/>
      <c r="C28" s="281"/>
      <c r="D28" s="281"/>
      <c r="E28" s="281"/>
      <c r="F28" s="281"/>
      <c r="G28" s="281"/>
      <c r="H28" s="281"/>
      <c r="I28" s="281"/>
      <c r="J28" s="281"/>
      <c r="K28" s="281"/>
      <c r="L28" s="281"/>
      <c r="M28" s="281"/>
      <c r="N28" s="281"/>
      <c r="O28" s="281"/>
      <c r="P28" s="281"/>
      <c r="Q28" s="281"/>
      <c r="R28" s="281"/>
      <c r="S28" s="281"/>
      <c r="T28" s="281"/>
      <c r="U28" s="281"/>
      <c r="V28" s="281"/>
      <c r="W28" s="281"/>
      <c r="X28" s="281"/>
      <c r="Y28" s="281"/>
      <c r="Z28" s="281"/>
      <c r="AA28" s="281"/>
      <c r="AB28" s="281"/>
      <c r="AC28" s="281"/>
      <c r="AD28" s="281"/>
      <c r="AE28" s="281"/>
      <c r="AF28" s="281"/>
      <c r="AG28" s="281"/>
      <c r="AH28" s="281"/>
      <c r="AI28" s="281"/>
      <c r="AJ28" s="281"/>
      <c r="AK28" s="281"/>
      <c r="AL28" s="281"/>
      <c r="AM28" s="281"/>
      <c r="AN28" s="281"/>
      <c r="AO28" s="281"/>
      <c r="AP28" s="281"/>
      <c r="AQ28" s="281"/>
      <c r="AR28" s="281"/>
      <c r="AS28" s="281"/>
      <c r="AT28" s="281"/>
      <c r="AU28" s="281"/>
      <c r="AV28" s="281"/>
      <c r="AW28" s="281"/>
      <c r="AX28" s="281"/>
      <c r="AY28" s="281"/>
      <c r="AZ28" s="281"/>
      <c r="BA28" s="281"/>
      <c r="BB28" s="281"/>
      <c r="BC28" s="281"/>
      <c r="BD28" s="281"/>
      <c r="BE28" s="281"/>
      <c r="BF28" s="281"/>
      <c r="BG28" s="281"/>
      <c r="BH28" s="281"/>
      <c r="BI28" s="281"/>
      <c r="BJ28" s="281"/>
      <c r="BK28" s="281"/>
      <c r="BL28" s="281"/>
      <c r="BM28" s="281"/>
      <c r="BN28" s="281"/>
      <c r="BO28" s="281"/>
      <c r="BP28" s="281"/>
      <c r="BQ28" s="281"/>
      <c r="BR28" s="281"/>
      <c r="BS28" s="281"/>
      <c r="BT28" s="281"/>
      <c r="BU28" s="281"/>
      <c r="BV28" s="281"/>
      <c r="BW28" s="281">
        <v>119797.87963530023</v>
      </c>
      <c r="BX28" s="281"/>
      <c r="BY28" s="281"/>
      <c r="BZ28" s="281"/>
      <c r="CA28" s="281"/>
      <c r="CB28" s="281"/>
      <c r="CC28" s="281"/>
      <c r="CD28" s="281"/>
      <c r="CE28" s="281"/>
      <c r="CF28" s="281"/>
      <c r="CG28" s="281"/>
      <c r="CH28" s="281"/>
      <c r="CI28" s="281"/>
      <c r="CJ28" s="281"/>
      <c r="CK28" s="281"/>
      <c r="CL28" s="281"/>
      <c r="CM28" s="281"/>
      <c r="CN28" s="281"/>
      <c r="CO28" s="281"/>
      <c r="CP28" s="281"/>
      <c r="CQ28" s="281"/>
      <c r="CR28" s="281"/>
      <c r="CS28" s="281"/>
      <c r="CT28" s="281"/>
      <c r="CU28" s="281"/>
      <c r="CV28" s="281"/>
      <c r="CW28" s="281"/>
      <c r="CX28" s="281"/>
      <c r="CY28" s="281"/>
      <c r="CZ28" s="281"/>
      <c r="DA28" s="281"/>
      <c r="DB28" s="281"/>
      <c r="DC28" s="281"/>
      <c r="DD28" s="281"/>
      <c r="DE28" s="281"/>
      <c r="DF28" s="281"/>
      <c r="DG28" s="281"/>
      <c r="DH28" s="281"/>
      <c r="DI28" s="281"/>
      <c r="DJ28" s="281"/>
      <c r="DK28" s="281"/>
      <c r="DL28" s="281"/>
      <c r="DM28" s="281"/>
      <c r="DN28" s="281"/>
      <c r="DO28" s="281"/>
      <c r="DP28" s="281"/>
      <c r="DQ28" s="281"/>
      <c r="DR28" s="281"/>
      <c r="DS28" s="281"/>
      <c r="DT28" s="281"/>
      <c r="DU28" s="281"/>
      <c r="DV28" s="281"/>
      <c r="DW28" s="281"/>
      <c r="DX28" s="281"/>
      <c r="DY28" s="281"/>
      <c r="DZ28" s="281"/>
      <c r="EA28" s="281"/>
      <c r="EB28" s="281"/>
      <c r="EC28" s="281"/>
      <c r="ED28" s="281"/>
      <c r="EE28" s="281"/>
      <c r="EF28" s="281"/>
      <c r="EG28" s="281"/>
      <c r="EH28" s="281"/>
      <c r="EI28" s="281"/>
      <c r="EJ28" s="281"/>
      <c r="EK28" s="281"/>
      <c r="EL28" s="281">
        <v>119797.87963530023</v>
      </c>
    </row>
    <row r="29" spans="1:142" x14ac:dyDescent="0.25">
      <c r="A29" s="279" t="s">
        <v>1632</v>
      </c>
      <c r="B29" s="281"/>
      <c r="C29" s="281"/>
      <c r="D29" s="281"/>
      <c r="E29" s="281"/>
      <c r="F29" s="281"/>
      <c r="G29" s="281"/>
      <c r="H29" s="281"/>
      <c r="I29" s="281"/>
      <c r="J29" s="281"/>
      <c r="K29" s="281"/>
      <c r="L29" s="281"/>
      <c r="M29" s="281"/>
      <c r="N29" s="281"/>
      <c r="O29" s="281"/>
      <c r="P29" s="281"/>
      <c r="Q29" s="281"/>
      <c r="R29" s="281"/>
      <c r="S29" s="281"/>
      <c r="T29" s="281"/>
      <c r="U29" s="281"/>
      <c r="V29" s="281"/>
      <c r="W29" s="281"/>
      <c r="X29" s="281"/>
      <c r="Y29" s="281"/>
      <c r="Z29" s="281"/>
      <c r="AA29" s="281"/>
      <c r="AB29" s="281"/>
      <c r="AC29" s="281"/>
      <c r="AD29" s="281"/>
      <c r="AE29" s="281"/>
      <c r="AF29" s="281"/>
      <c r="AG29" s="281"/>
      <c r="AH29" s="281"/>
      <c r="AI29" s="281"/>
      <c r="AJ29" s="281"/>
      <c r="AK29" s="281"/>
      <c r="AL29" s="281"/>
      <c r="AM29" s="281"/>
      <c r="AN29" s="281"/>
      <c r="AO29" s="281"/>
      <c r="AP29" s="281"/>
      <c r="AQ29" s="281"/>
      <c r="AR29" s="281"/>
      <c r="AS29" s="281"/>
      <c r="AT29" s="281"/>
      <c r="AU29" s="281"/>
      <c r="AV29" s="281"/>
      <c r="AW29" s="281"/>
      <c r="AX29" s="281"/>
      <c r="AY29" s="281"/>
      <c r="AZ29" s="281"/>
      <c r="BA29" s="281"/>
      <c r="BB29" s="281"/>
      <c r="BC29" s="281"/>
      <c r="BD29" s="281"/>
      <c r="BE29" s="281"/>
      <c r="BF29" s="281"/>
      <c r="BG29" s="281"/>
      <c r="BH29" s="281"/>
      <c r="BI29" s="281"/>
      <c r="BJ29" s="281"/>
      <c r="BK29" s="281"/>
      <c r="BL29" s="281"/>
      <c r="BM29" s="281"/>
      <c r="BN29" s="281"/>
      <c r="BO29" s="281"/>
      <c r="BP29" s="281"/>
      <c r="BQ29" s="281"/>
      <c r="BR29" s="281"/>
      <c r="BS29" s="281"/>
      <c r="BT29" s="281"/>
      <c r="BU29" s="281"/>
      <c r="BV29" s="281"/>
      <c r="BW29" s="281"/>
      <c r="BX29" s="281">
        <v>118993.61324641832</v>
      </c>
      <c r="BY29" s="281"/>
      <c r="BZ29" s="281"/>
      <c r="CA29" s="281"/>
      <c r="CB29" s="281"/>
      <c r="CC29" s="281"/>
      <c r="CD29" s="281"/>
      <c r="CE29" s="281"/>
      <c r="CF29" s="281"/>
      <c r="CG29" s="281"/>
      <c r="CH29" s="281"/>
      <c r="CI29" s="281"/>
      <c r="CJ29" s="281"/>
      <c r="CK29" s="281"/>
      <c r="CL29" s="281"/>
      <c r="CM29" s="281"/>
      <c r="CN29" s="281"/>
      <c r="CO29" s="281"/>
      <c r="CP29" s="281"/>
      <c r="CQ29" s="281"/>
      <c r="CR29" s="281"/>
      <c r="CS29" s="281"/>
      <c r="CT29" s="281"/>
      <c r="CU29" s="281"/>
      <c r="CV29" s="281"/>
      <c r="CW29" s="281"/>
      <c r="CX29" s="281"/>
      <c r="CY29" s="281"/>
      <c r="CZ29" s="281"/>
      <c r="DA29" s="281"/>
      <c r="DB29" s="281"/>
      <c r="DC29" s="281"/>
      <c r="DD29" s="281"/>
      <c r="DE29" s="281"/>
      <c r="DF29" s="281"/>
      <c r="DG29" s="281"/>
      <c r="DH29" s="281"/>
      <c r="DI29" s="281"/>
      <c r="DJ29" s="281"/>
      <c r="DK29" s="281"/>
      <c r="DL29" s="281"/>
      <c r="DM29" s="281"/>
      <c r="DN29" s="281"/>
      <c r="DO29" s="281"/>
      <c r="DP29" s="281"/>
      <c r="DQ29" s="281"/>
      <c r="DR29" s="281"/>
      <c r="DS29" s="281"/>
      <c r="DT29" s="281"/>
      <c r="DU29" s="281"/>
      <c r="DV29" s="281"/>
      <c r="DW29" s="281"/>
      <c r="DX29" s="281"/>
      <c r="DY29" s="281"/>
      <c r="DZ29" s="281"/>
      <c r="EA29" s="281"/>
      <c r="EB29" s="281"/>
      <c r="EC29" s="281"/>
      <c r="ED29" s="281"/>
      <c r="EE29" s="281"/>
      <c r="EF29" s="281"/>
      <c r="EG29" s="281"/>
      <c r="EH29" s="281"/>
      <c r="EI29" s="281"/>
      <c r="EJ29" s="281"/>
      <c r="EK29" s="281"/>
      <c r="EL29" s="281">
        <v>118993.61324641832</v>
      </c>
    </row>
    <row r="30" spans="1:142" x14ac:dyDescent="0.25">
      <c r="A30" s="279" t="s">
        <v>1631</v>
      </c>
      <c r="B30" s="281"/>
      <c r="C30" s="281"/>
      <c r="D30" s="281"/>
      <c r="E30" s="281"/>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1"/>
      <c r="AY30" s="281"/>
      <c r="AZ30" s="281"/>
      <c r="BA30" s="281"/>
      <c r="BB30" s="281"/>
      <c r="BC30" s="281"/>
      <c r="BD30" s="281"/>
      <c r="BE30" s="281"/>
      <c r="BF30" s="281"/>
      <c r="BG30" s="281"/>
      <c r="BH30" s="281"/>
      <c r="BI30" s="281"/>
      <c r="BJ30" s="281"/>
      <c r="BK30" s="281"/>
      <c r="BL30" s="281"/>
      <c r="BM30" s="281"/>
      <c r="BN30" s="281"/>
      <c r="BO30" s="281"/>
      <c r="BP30" s="281"/>
      <c r="BQ30" s="281"/>
      <c r="BR30" s="281"/>
      <c r="BS30" s="281"/>
      <c r="BT30" s="281"/>
      <c r="BU30" s="281"/>
      <c r="BV30" s="281"/>
      <c r="BW30" s="281"/>
      <c r="BX30" s="281"/>
      <c r="BY30" s="281">
        <v>16407.147377087244</v>
      </c>
      <c r="BZ30" s="281"/>
      <c r="CA30" s="281"/>
      <c r="CB30" s="281"/>
      <c r="CC30" s="281"/>
      <c r="CD30" s="281"/>
      <c r="CE30" s="281"/>
      <c r="CF30" s="281"/>
      <c r="CG30" s="281"/>
      <c r="CH30" s="281"/>
      <c r="CI30" s="281"/>
      <c r="CJ30" s="281"/>
      <c r="CK30" s="281"/>
      <c r="CL30" s="281"/>
      <c r="CM30" s="281"/>
      <c r="CN30" s="281"/>
      <c r="CO30" s="281"/>
      <c r="CP30" s="281"/>
      <c r="CQ30" s="281"/>
      <c r="CR30" s="281"/>
      <c r="CS30" s="281"/>
      <c r="CT30" s="281"/>
      <c r="CU30" s="281"/>
      <c r="CV30" s="281"/>
      <c r="CW30" s="281"/>
      <c r="CX30" s="281"/>
      <c r="CY30" s="281"/>
      <c r="CZ30" s="281"/>
      <c r="DA30" s="281"/>
      <c r="DB30" s="281"/>
      <c r="DC30" s="281"/>
      <c r="DD30" s="281"/>
      <c r="DE30" s="281"/>
      <c r="DF30" s="281"/>
      <c r="DG30" s="281"/>
      <c r="DH30" s="281"/>
      <c r="DI30" s="281"/>
      <c r="DJ30" s="281"/>
      <c r="DK30" s="281"/>
      <c r="DL30" s="281"/>
      <c r="DM30" s="281"/>
      <c r="DN30" s="281"/>
      <c r="DO30" s="281"/>
      <c r="DP30" s="281"/>
      <c r="DQ30" s="281"/>
      <c r="DR30" s="281"/>
      <c r="DS30" s="281"/>
      <c r="DT30" s="281"/>
      <c r="DU30" s="281"/>
      <c r="DV30" s="281"/>
      <c r="DW30" s="281"/>
      <c r="DX30" s="281"/>
      <c r="DY30" s="281"/>
      <c r="DZ30" s="281"/>
      <c r="EA30" s="281"/>
      <c r="EB30" s="281"/>
      <c r="EC30" s="281"/>
      <c r="ED30" s="281"/>
      <c r="EE30" s="281"/>
      <c r="EF30" s="281"/>
      <c r="EG30" s="281"/>
      <c r="EH30" s="281"/>
      <c r="EI30" s="281"/>
      <c r="EJ30" s="281"/>
      <c r="EK30" s="281"/>
      <c r="EL30" s="281">
        <v>16407.147377087244</v>
      </c>
    </row>
    <row r="31" spans="1:142" x14ac:dyDescent="0.25">
      <c r="A31" s="279" t="s">
        <v>1630</v>
      </c>
      <c r="B31" s="281"/>
      <c r="C31" s="281"/>
      <c r="D31" s="281"/>
      <c r="E31" s="281"/>
      <c r="F31" s="281"/>
      <c r="G31" s="281"/>
      <c r="H31" s="281"/>
      <c r="I31" s="281"/>
      <c r="J31" s="281"/>
      <c r="K31" s="281"/>
      <c r="L31" s="281"/>
      <c r="M31" s="281"/>
      <c r="N31" s="281"/>
      <c r="O31" s="281"/>
      <c r="P31" s="281"/>
      <c r="Q31" s="281"/>
      <c r="R31" s="281"/>
      <c r="S31" s="281"/>
      <c r="T31" s="281"/>
      <c r="U31" s="281"/>
      <c r="V31" s="281"/>
      <c r="W31" s="281"/>
      <c r="X31" s="281"/>
      <c r="Y31" s="281"/>
      <c r="Z31" s="281"/>
      <c r="AA31" s="281"/>
      <c r="AB31" s="281"/>
      <c r="AC31" s="281"/>
      <c r="AD31" s="281"/>
      <c r="AE31" s="281"/>
      <c r="AF31" s="281"/>
      <c r="AG31" s="281"/>
      <c r="AH31" s="281"/>
      <c r="AI31" s="281"/>
      <c r="AJ31" s="281"/>
      <c r="AK31" s="281"/>
      <c r="AL31" s="281"/>
      <c r="AM31" s="281"/>
      <c r="AN31" s="281"/>
      <c r="AO31" s="281"/>
      <c r="AP31" s="281"/>
      <c r="AQ31" s="281"/>
      <c r="AR31" s="281"/>
      <c r="AS31" s="281"/>
      <c r="AT31" s="281"/>
      <c r="AU31" s="281"/>
      <c r="AV31" s="281"/>
      <c r="AW31" s="281"/>
      <c r="AX31" s="281"/>
      <c r="AY31" s="281"/>
      <c r="AZ31" s="281"/>
      <c r="BA31" s="281"/>
      <c r="BB31" s="281"/>
      <c r="BC31" s="281"/>
      <c r="BD31" s="281"/>
      <c r="BE31" s="281"/>
      <c r="BF31" s="281"/>
      <c r="BG31" s="281"/>
      <c r="BH31" s="281"/>
      <c r="BI31" s="281"/>
      <c r="BJ31" s="281"/>
      <c r="BK31" s="281"/>
      <c r="BL31" s="281"/>
      <c r="BM31" s="281"/>
      <c r="BN31" s="281"/>
      <c r="BO31" s="281"/>
      <c r="BP31" s="281"/>
      <c r="BQ31" s="281"/>
      <c r="BR31" s="281"/>
      <c r="BS31" s="281"/>
      <c r="BT31" s="281"/>
      <c r="BU31" s="281"/>
      <c r="BV31" s="281"/>
      <c r="BW31" s="281"/>
      <c r="BX31" s="281"/>
      <c r="BY31" s="281"/>
      <c r="BZ31" s="281">
        <v>38482.932737225019</v>
      </c>
      <c r="CA31" s="281"/>
      <c r="CB31" s="281"/>
      <c r="CC31" s="281"/>
      <c r="CD31" s="281"/>
      <c r="CE31" s="281"/>
      <c r="CF31" s="281"/>
      <c r="CG31" s="281"/>
      <c r="CH31" s="281"/>
      <c r="CI31" s="281"/>
      <c r="CJ31" s="281"/>
      <c r="CK31" s="281"/>
      <c r="CL31" s="281"/>
      <c r="CM31" s="281"/>
      <c r="CN31" s="281"/>
      <c r="CO31" s="281"/>
      <c r="CP31" s="281"/>
      <c r="CQ31" s="281"/>
      <c r="CR31" s="281"/>
      <c r="CS31" s="281"/>
      <c r="CT31" s="281"/>
      <c r="CU31" s="281"/>
      <c r="CV31" s="281"/>
      <c r="CW31" s="281"/>
      <c r="CX31" s="281"/>
      <c r="CY31" s="281"/>
      <c r="CZ31" s="281"/>
      <c r="DA31" s="281"/>
      <c r="DB31" s="281"/>
      <c r="DC31" s="281"/>
      <c r="DD31" s="281"/>
      <c r="DE31" s="281"/>
      <c r="DF31" s="281"/>
      <c r="DG31" s="281"/>
      <c r="DH31" s="281"/>
      <c r="DI31" s="281"/>
      <c r="DJ31" s="281"/>
      <c r="DK31" s="281"/>
      <c r="DL31" s="281"/>
      <c r="DM31" s="281"/>
      <c r="DN31" s="281"/>
      <c r="DO31" s="281"/>
      <c r="DP31" s="281"/>
      <c r="DQ31" s="281"/>
      <c r="DR31" s="281"/>
      <c r="DS31" s="281"/>
      <c r="DT31" s="281"/>
      <c r="DU31" s="281"/>
      <c r="DV31" s="281"/>
      <c r="DW31" s="281"/>
      <c r="DX31" s="281"/>
      <c r="DY31" s="281"/>
      <c r="DZ31" s="281"/>
      <c r="EA31" s="281"/>
      <c r="EB31" s="281"/>
      <c r="EC31" s="281"/>
      <c r="ED31" s="281"/>
      <c r="EE31" s="281"/>
      <c r="EF31" s="281"/>
      <c r="EG31" s="281"/>
      <c r="EH31" s="281"/>
      <c r="EI31" s="281"/>
      <c r="EJ31" s="281"/>
      <c r="EK31" s="281"/>
      <c r="EL31" s="281">
        <v>38482.932737225019</v>
      </c>
    </row>
    <row r="32" spans="1:142" x14ac:dyDescent="0.25">
      <c r="A32" s="279" t="s">
        <v>1629</v>
      </c>
      <c r="B32" s="281"/>
      <c r="C32" s="281"/>
      <c r="D32" s="281"/>
      <c r="E32" s="281"/>
      <c r="F32" s="281"/>
      <c r="G32" s="281"/>
      <c r="H32" s="281"/>
      <c r="I32" s="281"/>
      <c r="J32" s="281"/>
      <c r="K32" s="281"/>
      <c r="L32" s="281"/>
      <c r="M32" s="281"/>
      <c r="N32" s="281"/>
      <c r="O32" s="281"/>
      <c r="P32" s="281"/>
      <c r="Q32" s="281"/>
      <c r="R32" s="281"/>
      <c r="S32" s="281"/>
      <c r="T32" s="281"/>
      <c r="U32" s="281"/>
      <c r="V32" s="281"/>
      <c r="W32" s="281"/>
      <c r="X32" s="281"/>
      <c r="Y32" s="281"/>
      <c r="Z32" s="281"/>
      <c r="AA32" s="281"/>
      <c r="AB32" s="281"/>
      <c r="AC32" s="281"/>
      <c r="AD32" s="281"/>
      <c r="AE32" s="281"/>
      <c r="AF32" s="281"/>
      <c r="AG32" s="281"/>
      <c r="AH32" s="281"/>
      <c r="AI32" s="281"/>
      <c r="AJ32" s="281"/>
      <c r="AK32" s="281"/>
      <c r="AL32" s="281"/>
      <c r="AM32" s="281"/>
      <c r="AN32" s="281"/>
      <c r="AO32" s="281"/>
      <c r="AP32" s="281"/>
      <c r="AQ32" s="281"/>
      <c r="AR32" s="281"/>
      <c r="AS32" s="281"/>
      <c r="AT32" s="281"/>
      <c r="AU32" s="281"/>
      <c r="AV32" s="281"/>
      <c r="AW32" s="281"/>
      <c r="AX32" s="281"/>
      <c r="AY32" s="281"/>
      <c r="AZ32" s="281"/>
      <c r="BA32" s="281"/>
      <c r="BB32" s="281"/>
      <c r="BC32" s="281"/>
      <c r="BD32" s="281"/>
      <c r="BE32" s="281"/>
      <c r="BF32" s="281"/>
      <c r="BG32" s="281"/>
      <c r="BH32" s="281"/>
      <c r="BI32" s="281"/>
      <c r="BJ32" s="281"/>
      <c r="BK32" s="281"/>
      <c r="BL32" s="281"/>
      <c r="BM32" s="281"/>
      <c r="BN32" s="281"/>
      <c r="BO32" s="281"/>
      <c r="BP32" s="281"/>
      <c r="BQ32" s="281"/>
      <c r="BR32" s="281"/>
      <c r="BS32" s="281"/>
      <c r="BT32" s="281"/>
      <c r="BU32" s="281"/>
      <c r="BV32" s="281"/>
      <c r="BW32" s="281"/>
      <c r="BX32" s="281"/>
      <c r="BY32" s="281"/>
      <c r="BZ32" s="281"/>
      <c r="CA32" s="281">
        <v>12175.124401069872</v>
      </c>
      <c r="CB32" s="281"/>
      <c r="CC32" s="281"/>
      <c r="CD32" s="281"/>
      <c r="CE32" s="281"/>
      <c r="CF32" s="281"/>
      <c r="CG32" s="281"/>
      <c r="CH32" s="281"/>
      <c r="CI32" s="281"/>
      <c r="CJ32" s="281"/>
      <c r="CK32" s="281"/>
      <c r="CL32" s="281"/>
      <c r="CM32" s="281"/>
      <c r="CN32" s="281"/>
      <c r="CO32" s="281"/>
      <c r="CP32" s="281"/>
      <c r="CQ32" s="281"/>
      <c r="CR32" s="281"/>
      <c r="CS32" s="281"/>
      <c r="CT32" s="281"/>
      <c r="CU32" s="281"/>
      <c r="CV32" s="281"/>
      <c r="CW32" s="281"/>
      <c r="CX32" s="281"/>
      <c r="CY32" s="281"/>
      <c r="CZ32" s="281"/>
      <c r="DA32" s="281"/>
      <c r="DB32" s="281"/>
      <c r="DC32" s="281"/>
      <c r="DD32" s="281"/>
      <c r="DE32" s="281"/>
      <c r="DF32" s="281"/>
      <c r="DG32" s="281"/>
      <c r="DH32" s="281"/>
      <c r="DI32" s="281"/>
      <c r="DJ32" s="281"/>
      <c r="DK32" s="281"/>
      <c r="DL32" s="281"/>
      <c r="DM32" s="281"/>
      <c r="DN32" s="281"/>
      <c r="DO32" s="281"/>
      <c r="DP32" s="281"/>
      <c r="DQ32" s="281"/>
      <c r="DR32" s="281"/>
      <c r="DS32" s="281"/>
      <c r="DT32" s="281"/>
      <c r="DU32" s="281"/>
      <c r="DV32" s="281"/>
      <c r="DW32" s="281"/>
      <c r="DX32" s="281"/>
      <c r="DY32" s="281"/>
      <c r="DZ32" s="281"/>
      <c r="EA32" s="281"/>
      <c r="EB32" s="281"/>
      <c r="EC32" s="281"/>
      <c r="ED32" s="281"/>
      <c r="EE32" s="281"/>
      <c r="EF32" s="281"/>
      <c r="EG32" s="281"/>
      <c r="EH32" s="281"/>
      <c r="EI32" s="281"/>
      <c r="EJ32" s="281"/>
      <c r="EK32" s="281"/>
      <c r="EL32" s="281">
        <v>12175.124401069872</v>
      </c>
    </row>
    <row r="33" spans="1:142" x14ac:dyDescent="0.25">
      <c r="A33" s="279" t="s">
        <v>1628</v>
      </c>
      <c r="B33" s="281"/>
      <c r="C33" s="281"/>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v>43034.026847537265</v>
      </c>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v>43034.026847537265</v>
      </c>
    </row>
    <row r="34" spans="1:142" x14ac:dyDescent="0.25">
      <c r="A34" s="279" t="s">
        <v>1627</v>
      </c>
      <c r="B34" s="281"/>
      <c r="C34" s="281"/>
      <c r="D34" s="281"/>
      <c r="E34" s="281"/>
      <c r="F34" s="281"/>
      <c r="G34" s="281"/>
      <c r="H34" s="281"/>
      <c r="I34" s="281"/>
      <c r="J34" s="281"/>
      <c r="K34" s="281"/>
      <c r="L34" s="281"/>
      <c r="M34" s="281"/>
      <c r="N34" s="281"/>
      <c r="O34" s="281"/>
      <c r="P34" s="281"/>
      <c r="Q34" s="281"/>
      <c r="R34" s="281"/>
      <c r="S34" s="281"/>
      <c r="T34" s="281"/>
      <c r="U34" s="281"/>
      <c r="V34" s="281"/>
      <c r="W34" s="281"/>
      <c r="X34" s="281"/>
      <c r="Y34" s="281"/>
      <c r="Z34" s="281"/>
      <c r="AA34" s="281"/>
      <c r="AB34" s="281"/>
      <c r="AC34" s="281"/>
      <c r="AD34" s="281"/>
      <c r="AE34" s="281"/>
      <c r="AF34" s="281"/>
      <c r="AG34" s="281"/>
      <c r="AH34" s="281"/>
      <c r="AI34" s="281"/>
      <c r="AJ34" s="281"/>
      <c r="AK34" s="281"/>
      <c r="AL34" s="281"/>
      <c r="AM34" s="281"/>
      <c r="AN34" s="281"/>
      <c r="AO34" s="281"/>
      <c r="AP34" s="281"/>
      <c r="AQ34" s="281"/>
      <c r="AR34" s="281"/>
      <c r="AS34" s="281"/>
      <c r="AT34" s="281"/>
      <c r="AU34" s="281"/>
      <c r="AV34" s="281"/>
      <c r="AW34" s="281"/>
      <c r="AX34" s="281"/>
      <c r="AY34" s="281"/>
      <c r="AZ34" s="281"/>
      <c r="BA34" s="281"/>
      <c r="BB34" s="281"/>
      <c r="BC34" s="281"/>
      <c r="BD34" s="281"/>
      <c r="BE34" s="281"/>
      <c r="BF34" s="281"/>
      <c r="BG34" s="281"/>
      <c r="BH34" s="281"/>
      <c r="BI34" s="281"/>
      <c r="BJ34" s="281"/>
      <c r="BK34" s="281"/>
      <c r="BL34" s="281"/>
      <c r="BM34" s="281"/>
      <c r="BN34" s="281"/>
      <c r="BO34" s="281"/>
      <c r="BP34" s="281"/>
      <c r="BQ34" s="281"/>
      <c r="BR34" s="281"/>
      <c r="BS34" s="281"/>
      <c r="BT34" s="281"/>
      <c r="BU34" s="281"/>
      <c r="BV34" s="281"/>
      <c r="BW34" s="281"/>
      <c r="BX34" s="281"/>
      <c r="BY34" s="281"/>
      <c r="BZ34" s="281"/>
      <c r="CA34" s="281"/>
      <c r="CB34" s="281"/>
      <c r="CC34" s="281">
        <v>139745.09915966072</v>
      </c>
      <c r="CD34" s="281"/>
      <c r="CE34" s="281"/>
      <c r="CF34" s="281"/>
      <c r="CG34" s="281"/>
      <c r="CH34" s="281"/>
      <c r="CI34" s="281"/>
      <c r="CJ34" s="281"/>
      <c r="CK34" s="281"/>
      <c r="CL34" s="281"/>
      <c r="CM34" s="281"/>
      <c r="CN34" s="281"/>
      <c r="CO34" s="281"/>
      <c r="CP34" s="281"/>
      <c r="CQ34" s="281"/>
      <c r="CR34" s="281"/>
      <c r="CS34" s="281"/>
      <c r="CT34" s="281"/>
      <c r="CU34" s="281"/>
      <c r="CV34" s="281"/>
      <c r="CW34" s="281"/>
      <c r="CX34" s="281"/>
      <c r="CY34" s="281"/>
      <c r="CZ34" s="281"/>
      <c r="DA34" s="281"/>
      <c r="DB34" s="281"/>
      <c r="DC34" s="281"/>
      <c r="DD34" s="281"/>
      <c r="DE34" s="281"/>
      <c r="DF34" s="281"/>
      <c r="DG34" s="281"/>
      <c r="DH34" s="281"/>
      <c r="DI34" s="281"/>
      <c r="DJ34" s="281"/>
      <c r="DK34" s="281"/>
      <c r="DL34" s="281"/>
      <c r="DM34" s="281"/>
      <c r="DN34" s="281"/>
      <c r="DO34" s="281"/>
      <c r="DP34" s="281"/>
      <c r="DQ34" s="281"/>
      <c r="DR34" s="281"/>
      <c r="DS34" s="281"/>
      <c r="DT34" s="281"/>
      <c r="DU34" s="281"/>
      <c r="DV34" s="281"/>
      <c r="DW34" s="281"/>
      <c r="DX34" s="281"/>
      <c r="DY34" s="281"/>
      <c r="DZ34" s="281"/>
      <c r="EA34" s="281"/>
      <c r="EB34" s="281"/>
      <c r="EC34" s="281"/>
      <c r="ED34" s="281"/>
      <c r="EE34" s="281"/>
      <c r="EF34" s="281"/>
      <c r="EG34" s="281"/>
      <c r="EH34" s="281"/>
      <c r="EI34" s="281"/>
      <c r="EJ34" s="281"/>
      <c r="EK34" s="281"/>
      <c r="EL34" s="281">
        <v>139745.09915966072</v>
      </c>
    </row>
    <row r="35" spans="1:142" x14ac:dyDescent="0.25">
      <c r="A35" s="279" t="s">
        <v>1626</v>
      </c>
      <c r="B35" s="281"/>
      <c r="C35" s="281"/>
      <c r="D35" s="281"/>
      <c r="E35" s="281"/>
      <c r="F35" s="281"/>
      <c r="G35" s="281"/>
      <c r="H35" s="281"/>
      <c r="I35" s="281"/>
      <c r="J35" s="281"/>
      <c r="K35" s="281"/>
      <c r="L35" s="281"/>
      <c r="M35" s="281"/>
      <c r="N35" s="281"/>
      <c r="O35" s="281"/>
      <c r="P35" s="281"/>
      <c r="Q35" s="281"/>
      <c r="R35" s="281"/>
      <c r="S35" s="281"/>
      <c r="T35" s="281"/>
      <c r="U35" s="281"/>
      <c r="V35" s="281"/>
      <c r="W35" s="281"/>
      <c r="X35" s="281"/>
      <c r="Y35" s="281"/>
      <c r="Z35" s="281"/>
      <c r="AA35" s="281"/>
      <c r="AB35" s="281"/>
      <c r="AC35" s="281"/>
      <c r="AD35" s="281"/>
      <c r="AE35" s="281"/>
      <c r="AF35" s="281"/>
      <c r="AG35" s="281"/>
      <c r="AH35" s="281"/>
      <c r="AI35" s="281"/>
      <c r="AJ35" s="281"/>
      <c r="AK35" s="281"/>
      <c r="AL35" s="281"/>
      <c r="AM35" s="281"/>
      <c r="AN35" s="281"/>
      <c r="AO35" s="281"/>
      <c r="AP35" s="281"/>
      <c r="AQ35" s="281"/>
      <c r="AR35" s="281"/>
      <c r="AS35" s="281"/>
      <c r="AT35" s="281"/>
      <c r="AU35" s="281"/>
      <c r="AV35" s="281"/>
      <c r="AW35" s="281"/>
      <c r="AX35" s="281"/>
      <c r="AY35" s="281"/>
      <c r="AZ35" s="281"/>
      <c r="BA35" s="281"/>
      <c r="BB35" s="281"/>
      <c r="BC35" s="281"/>
      <c r="BD35" s="281"/>
      <c r="BE35" s="281"/>
      <c r="BF35" s="281"/>
      <c r="BG35" s="281"/>
      <c r="BH35" s="281"/>
      <c r="BI35" s="281"/>
      <c r="BJ35" s="281"/>
      <c r="BK35" s="281"/>
      <c r="BL35" s="281"/>
      <c r="BM35" s="281"/>
      <c r="BN35" s="281"/>
      <c r="BO35" s="281"/>
      <c r="BP35" s="281"/>
      <c r="BQ35" s="281"/>
      <c r="BR35" s="281"/>
      <c r="BS35" s="281"/>
      <c r="BT35" s="281"/>
      <c r="BU35" s="281"/>
      <c r="BV35" s="281"/>
      <c r="BW35" s="281"/>
      <c r="BX35" s="281"/>
      <c r="BY35" s="281"/>
      <c r="BZ35" s="281"/>
      <c r="CA35" s="281"/>
      <c r="CB35" s="281"/>
      <c r="CC35" s="281"/>
      <c r="CD35" s="281">
        <v>58378.083425623227</v>
      </c>
      <c r="CE35" s="281"/>
      <c r="CF35" s="281"/>
      <c r="CG35" s="281"/>
      <c r="CH35" s="281"/>
      <c r="CI35" s="281"/>
      <c r="CJ35" s="281"/>
      <c r="CK35" s="281"/>
      <c r="CL35" s="281"/>
      <c r="CM35" s="281"/>
      <c r="CN35" s="281"/>
      <c r="CO35" s="281"/>
      <c r="CP35" s="281"/>
      <c r="CQ35" s="281"/>
      <c r="CR35" s="281"/>
      <c r="CS35" s="281"/>
      <c r="CT35" s="281"/>
      <c r="CU35" s="281"/>
      <c r="CV35" s="281"/>
      <c r="CW35" s="281"/>
      <c r="CX35" s="281"/>
      <c r="CY35" s="281"/>
      <c r="CZ35" s="281"/>
      <c r="DA35" s="281"/>
      <c r="DB35" s="281"/>
      <c r="DC35" s="281"/>
      <c r="DD35" s="281"/>
      <c r="DE35" s="281"/>
      <c r="DF35" s="281"/>
      <c r="DG35" s="281"/>
      <c r="DH35" s="281"/>
      <c r="DI35" s="281"/>
      <c r="DJ35" s="281"/>
      <c r="DK35" s="281"/>
      <c r="DL35" s="281"/>
      <c r="DM35" s="281"/>
      <c r="DN35" s="281"/>
      <c r="DO35" s="281"/>
      <c r="DP35" s="281"/>
      <c r="DQ35" s="281"/>
      <c r="DR35" s="281"/>
      <c r="DS35" s="281"/>
      <c r="DT35" s="281"/>
      <c r="DU35" s="281"/>
      <c r="DV35" s="281"/>
      <c r="DW35" s="281"/>
      <c r="DX35" s="281"/>
      <c r="DY35" s="281"/>
      <c r="DZ35" s="281"/>
      <c r="EA35" s="281"/>
      <c r="EB35" s="281"/>
      <c r="EC35" s="281"/>
      <c r="ED35" s="281"/>
      <c r="EE35" s="281"/>
      <c r="EF35" s="281"/>
      <c r="EG35" s="281"/>
      <c r="EH35" s="281"/>
      <c r="EI35" s="281"/>
      <c r="EJ35" s="281"/>
      <c r="EK35" s="281"/>
      <c r="EL35" s="281">
        <v>58378.083425623227</v>
      </c>
    </row>
    <row r="36" spans="1:142" x14ac:dyDescent="0.25">
      <c r="A36" s="279" t="s">
        <v>1625</v>
      </c>
      <c r="B36" s="281"/>
      <c r="C36" s="281"/>
      <c r="D36" s="281"/>
      <c r="E36" s="281"/>
      <c r="F36" s="281"/>
      <c r="G36" s="281"/>
      <c r="H36" s="281"/>
      <c r="I36" s="281"/>
      <c r="J36" s="281"/>
      <c r="K36" s="281"/>
      <c r="L36" s="281"/>
      <c r="M36" s="281"/>
      <c r="N36" s="281"/>
      <c r="O36" s="281"/>
      <c r="P36" s="281"/>
      <c r="Q36" s="281"/>
      <c r="R36" s="281"/>
      <c r="S36" s="281"/>
      <c r="T36" s="281"/>
      <c r="U36" s="281"/>
      <c r="V36" s="281"/>
      <c r="W36" s="281"/>
      <c r="X36" s="281"/>
      <c r="Y36" s="281"/>
      <c r="Z36" s="281"/>
      <c r="AA36" s="281"/>
      <c r="AB36" s="281"/>
      <c r="AC36" s="281"/>
      <c r="AD36" s="281"/>
      <c r="AE36" s="281"/>
      <c r="AF36" s="281"/>
      <c r="AG36" s="281"/>
      <c r="AH36" s="281"/>
      <c r="AI36" s="281"/>
      <c r="AJ36" s="281"/>
      <c r="AK36" s="281"/>
      <c r="AL36" s="281"/>
      <c r="AM36" s="281"/>
      <c r="AN36" s="281"/>
      <c r="AO36" s="281"/>
      <c r="AP36" s="281"/>
      <c r="AQ36" s="281"/>
      <c r="AR36" s="281"/>
      <c r="AS36" s="281"/>
      <c r="AT36" s="281"/>
      <c r="AU36" s="281"/>
      <c r="AV36" s="281"/>
      <c r="AW36" s="281"/>
      <c r="AX36" s="281"/>
      <c r="AY36" s="281"/>
      <c r="AZ36" s="281"/>
      <c r="BA36" s="281"/>
      <c r="BB36" s="281"/>
      <c r="BC36" s="281"/>
      <c r="BD36" s="281"/>
      <c r="BE36" s="281"/>
      <c r="BF36" s="281"/>
      <c r="BG36" s="281"/>
      <c r="BH36" s="281"/>
      <c r="BI36" s="281"/>
      <c r="BJ36" s="281"/>
      <c r="BK36" s="281"/>
      <c r="BL36" s="281"/>
      <c r="BM36" s="281"/>
      <c r="BN36" s="281"/>
      <c r="BO36" s="281"/>
      <c r="BP36" s="281"/>
      <c r="BQ36" s="281"/>
      <c r="BR36" s="281"/>
      <c r="BS36" s="281"/>
      <c r="BT36" s="281"/>
      <c r="BU36" s="281"/>
      <c r="BV36" s="281"/>
      <c r="BW36" s="281"/>
      <c r="BX36" s="281"/>
      <c r="BY36" s="281"/>
      <c r="BZ36" s="281"/>
      <c r="CA36" s="281"/>
      <c r="CB36" s="281"/>
      <c r="CC36" s="281"/>
      <c r="CD36" s="281"/>
      <c r="CE36" s="281">
        <v>86497.117032336755</v>
      </c>
      <c r="CF36" s="281"/>
      <c r="CG36" s="281"/>
      <c r="CH36" s="281"/>
      <c r="CI36" s="281"/>
      <c r="CJ36" s="281"/>
      <c r="CK36" s="281"/>
      <c r="CL36" s="281"/>
      <c r="CM36" s="281"/>
      <c r="CN36" s="281"/>
      <c r="CO36" s="281"/>
      <c r="CP36" s="281"/>
      <c r="CQ36" s="281"/>
      <c r="CR36" s="281"/>
      <c r="CS36" s="281"/>
      <c r="CT36" s="281"/>
      <c r="CU36" s="281"/>
      <c r="CV36" s="281"/>
      <c r="CW36" s="281"/>
      <c r="CX36" s="281"/>
      <c r="CY36" s="281"/>
      <c r="CZ36" s="281"/>
      <c r="DA36" s="281"/>
      <c r="DB36" s="281"/>
      <c r="DC36" s="281"/>
      <c r="DD36" s="281"/>
      <c r="DE36" s="281"/>
      <c r="DF36" s="281"/>
      <c r="DG36" s="281"/>
      <c r="DH36" s="281"/>
      <c r="DI36" s="281"/>
      <c r="DJ36" s="281"/>
      <c r="DK36" s="281"/>
      <c r="DL36" s="281"/>
      <c r="DM36" s="281"/>
      <c r="DN36" s="281"/>
      <c r="DO36" s="281"/>
      <c r="DP36" s="281"/>
      <c r="DQ36" s="281"/>
      <c r="DR36" s="281"/>
      <c r="DS36" s="281"/>
      <c r="DT36" s="281"/>
      <c r="DU36" s="281"/>
      <c r="DV36" s="281"/>
      <c r="DW36" s="281"/>
      <c r="DX36" s="281"/>
      <c r="DY36" s="281"/>
      <c r="DZ36" s="281"/>
      <c r="EA36" s="281"/>
      <c r="EB36" s="281"/>
      <c r="EC36" s="281"/>
      <c r="ED36" s="281"/>
      <c r="EE36" s="281"/>
      <c r="EF36" s="281"/>
      <c r="EG36" s="281"/>
      <c r="EH36" s="281"/>
      <c r="EI36" s="281"/>
      <c r="EJ36" s="281"/>
      <c r="EK36" s="281"/>
      <c r="EL36" s="281">
        <v>86497.117032336755</v>
      </c>
    </row>
    <row r="37" spans="1:142" x14ac:dyDescent="0.25">
      <c r="A37" s="279" t="s">
        <v>1624</v>
      </c>
      <c r="B37" s="281"/>
      <c r="C37" s="281"/>
      <c r="D37" s="281"/>
      <c r="E37" s="281"/>
      <c r="F37" s="281"/>
      <c r="G37" s="281"/>
      <c r="H37" s="281"/>
      <c r="I37" s="281"/>
      <c r="J37" s="281"/>
      <c r="K37" s="281"/>
      <c r="L37" s="281"/>
      <c r="M37" s="281"/>
      <c r="N37" s="281"/>
      <c r="O37" s="281"/>
      <c r="P37" s="281"/>
      <c r="Q37" s="281"/>
      <c r="R37" s="281"/>
      <c r="S37" s="281"/>
      <c r="T37" s="281"/>
      <c r="U37" s="281"/>
      <c r="V37" s="281"/>
      <c r="W37" s="281"/>
      <c r="X37" s="281"/>
      <c r="Y37" s="281"/>
      <c r="Z37" s="281"/>
      <c r="AA37" s="281"/>
      <c r="AB37" s="281"/>
      <c r="AC37" s="281"/>
      <c r="AD37" s="281"/>
      <c r="AE37" s="281"/>
      <c r="AF37" s="281"/>
      <c r="AG37" s="281"/>
      <c r="AH37" s="281"/>
      <c r="AI37" s="281"/>
      <c r="AJ37" s="281"/>
      <c r="AK37" s="281"/>
      <c r="AL37" s="281"/>
      <c r="AM37" s="281"/>
      <c r="AN37" s="281"/>
      <c r="AO37" s="281"/>
      <c r="AP37" s="281"/>
      <c r="AQ37" s="281"/>
      <c r="AR37" s="281"/>
      <c r="AS37" s="281"/>
      <c r="AT37" s="281"/>
      <c r="AU37" s="281"/>
      <c r="AV37" s="281"/>
      <c r="AW37" s="281"/>
      <c r="AX37" s="281"/>
      <c r="AY37" s="281"/>
      <c r="AZ37" s="281"/>
      <c r="BA37" s="281"/>
      <c r="BB37" s="281"/>
      <c r="BC37" s="281"/>
      <c r="BD37" s="281"/>
      <c r="BE37" s="281"/>
      <c r="BF37" s="281"/>
      <c r="BG37" s="281"/>
      <c r="BH37" s="281"/>
      <c r="BI37" s="281"/>
      <c r="BJ37" s="281"/>
      <c r="BK37" s="281"/>
      <c r="BL37" s="281"/>
      <c r="BM37" s="281"/>
      <c r="BN37" s="281"/>
      <c r="BO37" s="281"/>
      <c r="BP37" s="281"/>
      <c r="BQ37" s="281"/>
      <c r="BR37" s="281"/>
      <c r="BS37" s="281"/>
      <c r="BT37" s="281"/>
      <c r="BU37" s="281"/>
      <c r="BV37" s="281"/>
      <c r="BW37" s="281"/>
      <c r="BX37" s="281"/>
      <c r="BY37" s="281"/>
      <c r="BZ37" s="281"/>
      <c r="CA37" s="281"/>
      <c r="CB37" s="281"/>
      <c r="CC37" s="281"/>
      <c r="CD37" s="281"/>
      <c r="CE37" s="281"/>
      <c r="CF37" s="281">
        <v>91469.036572743964</v>
      </c>
      <c r="CG37" s="281"/>
      <c r="CH37" s="281"/>
      <c r="CI37" s="281"/>
      <c r="CJ37" s="281"/>
      <c r="CK37" s="281"/>
      <c r="CL37" s="281"/>
      <c r="CM37" s="281"/>
      <c r="CN37" s="281"/>
      <c r="CO37" s="281"/>
      <c r="CP37" s="281"/>
      <c r="CQ37" s="281"/>
      <c r="CR37" s="281"/>
      <c r="CS37" s="281"/>
      <c r="CT37" s="281"/>
      <c r="CU37" s="281"/>
      <c r="CV37" s="281"/>
      <c r="CW37" s="281"/>
      <c r="CX37" s="281"/>
      <c r="CY37" s="281"/>
      <c r="CZ37" s="281"/>
      <c r="DA37" s="281"/>
      <c r="DB37" s="281"/>
      <c r="DC37" s="281"/>
      <c r="DD37" s="281"/>
      <c r="DE37" s="281"/>
      <c r="DF37" s="281"/>
      <c r="DG37" s="281"/>
      <c r="DH37" s="281"/>
      <c r="DI37" s="281"/>
      <c r="DJ37" s="281"/>
      <c r="DK37" s="281"/>
      <c r="DL37" s="281"/>
      <c r="DM37" s="281"/>
      <c r="DN37" s="281"/>
      <c r="DO37" s="281"/>
      <c r="DP37" s="281"/>
      <c r="DQ37" s="281"/>
      <c r="DR37" s="281"/>
      <c r="DS37" s="281"/>
      <c r="DT37" s="281"/>
      <c r="DU37" s="281"/>
      <c r="DV37" s="281"/>
      <c r="DW37" s="281"/>
      <c r="DX37" s="281"/>
      <c r="DY37" s="281"/>
      <c r="DZ37" s="281"/>
      <c r="EA37" s="281"/>
      <c r="EB37" s="281"/>
      <c r="EC37" s="281"/>
      <c r="ED37" s="281"/>
      <c r="EE37" s="281"/>
      <c r="EF37" s="281"/>
      <c r="EG37" s="281"/>
      <c r="EH37" s="281"/>
      <c r="EI37" s="281"/>
      <c r="EJ37" s="281"/>
      <c r="EK37" s="281"/>
      <c r="EL37" s="281">
        <v>91469.036572743964</v>
      </c>
    </row>
    <row r="38" spans="1:142" x14ac:dyDescent="0.25">
      <c r="A38" s="279" t="s">
        <v>1623</v>
      </c>
      <c r="B38" s="281"/>
      <c r="C38" s="281"/>
      <c r="D38" s="281"/>
      <c r="E38" s="281"/>
      <c r="F38" s="281"/>
      <c r="G38" s="281"/>
      <c r="H38" s="281"/>
      <c r="I38" s="281"/>
      <c r="J38" s="281"/>
      <c r="K38" s="281"/>
      <c r="L38" s="281"/>
      <c r="M38" s="281"/>
      <c r="N38" s="281"/>
      <c r="O38" s="281"/>
      <c r="P38" s="281"/>
      <c r="Q38" s="281"/>
      <c r="R38" s="281"/>
      <c r="S38" s="281"/>
      <c r="T38" s="281"/>
      <c r="U38" s="281"/>
      <c r="V38" s="281"/>
      <c r="W38" s="281"/>
      <c r="X38" s="281"/>
      <c r="Y38" s="281"/>
      <c r="Z38" s="281"/>
      <c r="AA38" s="281"/>
      <c r="AB38" s="281"/>
      <c r="AC38" s="281"/>
      <c r="AD38" s="281"/>
      <c r="AE38" s="281"/>
      <c r="AF38" s="281"/>
      <c r="AG38" s="281"/>
      <c r="AH38" s="281"/>
      <c r="AI38" s="281"/>
      <c r="AJ38" s="281"/>
      <c r="AK38" s="281"/>
      <c r="AL38" s="281"/>
      <c r="AM38" s="281"/>
      <c r="AN38" s="281"/>
      <c r="AO38" s="281"/>
      <c r="AP38" s="281"/>
      <c r="AQ38" s="281"/>
      <c r="AR38" s="281"/>
      <c r="AS38" s="281"/>
      <c r="AT38" s="281"/>
      <c r="AU38" s="281"/>
      <c r="AV38" s="281"/>
      <c r="AW38" s="281"/>
      <c r="AX38" s="281"/>
      <c r="AY38" s="281"/>
      <c r="AZ38" s="281"/>
      <c r="BA38" s="281"/>
      <c r="BB38" s="281"/>
      <c r="BC38" s="281"/>
      <c r="BD38" s="281"/>
      <c r="BE38" s="281"/>
      <c r="BF38" s="281"/>
      <c r="BG38" s="281"/>
      <c r="BH38" s="281"/>
      <c r="BI38" s="281"/>
      <c r="BJ38" s="281"/>
      <c r="BK38" s="281"/>
      <c r="BL38" s="281"/>
      <c r="BM38" s="281"/>
      <c r="BN38" s="281"/>
      <c r="BO38" s="281"/>
      <c r="BP38" s="281"/>
      <c r="BQ38" s="281"/>
      <c r="BR38" s="281"/>
      <c r="BS38" s="281"/>
      <c r="BT38" s="281"/>
      <c r="BU38" s="281"/>
      <c r="BV38" s="281"/>
      <c r="BW38" s="281"/>
      <c r="BX38" s="281"/>
      <c r="BY38" s="281"/>
      <c r="BZ38" s="281"/>
      <c r="CA38" s="281"/>
      <c r="CB38" s="281"/>
      <c r="CC38" s="281"/>
      <c r="CD38" s="281"/>
      <c r="CE38" s="281"/>
      <c r="CF38" s="281"/>
      <c r="CG38" s="281">
        <v>53698.9174900871</v>
      </c>
      <c r="CH38" s="281"/>
      <c r="CI38" s="281"/>
      <c r="CJ38" s="281"/>
      <c r="CK38" s="281"/>
      <c r="CL38" s="281"/>
      <c r="CM38" s="281"/>
      <c r="CN38" s="281"/>
      <c r="CO38" s="281"/>
      <c r="CP38" s="281"/>
      <c r="CQ38" s="281"/>
      <c r="CR38" s="281"/>
      <c r="CS38" s="281"/>
      <c r="CT38" s="281"/>
      <c r="CU38" s="281"/>
      <c r="CV38" s="281"/>
      <c r="CW38" s="281"/>
      <c r="CX38" s="281"/>
      <c r="CY38" s="281"/>
      <c r="CZ38" s="281"/>
      <c r="DA38" s="281"/>
      <c r="DB38" s="281"/>
      <c r="DC38" s="281"/>
      <c r="DD38" s="281"/>
      <c r="DE38" s="281"/>
      <c r="DF38" s="281"/>
      <c r="DG38" s="281"/>
      <c r="DH38" s="281"/>
      <c r="DI38" s="281"/>
      <c r="DJ38" s="281"/>
      <c r="DK38" s="281"/>
      <c r="DL38" s="281"/>
      <c r="DM38" s="281"/>
      <c r="DN38" s="281"/>
      <c r="DO38" s="281"/>
      <c r="DP38" s="281"/>
      <c r="DQ38" s="281"/>
      <c r="DR38" s="281"/>
      <c r="DS38" s="281"/>
      <c r="DT38" s="281"/>
      <c r="DU38" s="281"/>
      <c r="DV38" s="281"/>
      <c r="DW38" s="281"/>
      <c r="DX38" s="281"/>
      <c r="DY38" s="281"/>
      <c r="DZ38" s="281"/>
      <c r="EA38" s="281"/>
      <c r="EB38" s="281"/>
      <c r="EC38" s="281"/>
      <c r="ED38" s="281"/>
      <c r="EE38" s="281"/>
      <c r="EF38" s="281"/>
      <c r="EG38" s="281"/>
      <c r="EH38" s="281"/>
      <c r="EI38" s="281"/>
      <c r="EJ38" s="281"/>
      <c r="EK38" s="281"/>
      <c r="EL38" s="281">
        <v>53698.9174900871</v>
      </c>
    </row>
    <row r="39" spans="1:142" x14ac:dyDescent="0.25">
      <c r="A39" s="279" t="s">
        <v>1622</v>
      </c>
      <c r="B39" s="281"/>
      <c r="C39" s="281"/>
      <c r="D39" s="281"/>
      <c r="E39" s="281"/>
      <c r="F39" s="281"/>
      <c r="G39" s="281"/>
      <c r="H39" s="281"/>
      <c r="I39" s="281"/>
      <c r="J39" s="281"/>
      <c r="K39" s="281"/>
      <c r="L39" s="281"/>
      <c r="M39" s="281"/>
      <c r="N39" s="281"/>
      <c r="O39" s="281"/>
      <c r="P39" s="281"/>
      <c r="Q39" s="281"/>
      <c r="R39" s="281"/>
      <c r="S39" s="281"/>
      <c r="T39" s="281"/>
      <c r="U39" s="281"/>
      <c r="V39" s="281"/>
      <c r="W39" s="281"/>
      <c r="X39" s="281"/>
      <c r="Y39" s="281"/>
      <c r="Z39" s="281"/>
      <c r="AA39" s="281"/>
      <c r="AB39" s="281"/>
      <c r="AC39" s="281"/>
      <c r="AD39" s="281"/>
      <c r="AE39" s="281"/>
      <c r="AF39" s="281"/>
      <c r="AG39" s="281"/>
      <c r="AH39" s="281"/>
      <c r="AI39" s="281"/>
      <c r="AJ39" s="281"/>
      <c r="AK39" s="281"/>
      <c r="AL39" s="281"/>
      <c r="AM39" s="281"/>
      <c r="AN39" s="281"/>
      <c r="AO39" s="281"/>
      <c r="AP39" s="281"/>
      <c r="AQ39" s="281"/>
      <c r="AR39" s="281"/>
      <c r="AS39" s="281"/>
      <c r="AT39" s="281"/>
      <c r="AU39" s="281"/>
      <c r="AV39" s="281"/>
      <c r="AW39" s="281"/>
      <c r="AX39" s="281"/>
      <c r="AY39" s="281"/>
      <c r="AZ39" s="281"/>
      <c r="BA39" s="281"/>
      <c r="BB39" s="281"/>
      <c r="BC39" s="281"/>
      <c r="BD39" s="281"/>
      <c r="BE39" s="281"/>
      <c r="BF39" s="281"/>
      <c r="BG39" s="281"/>
      <c r="BH39" s="281"/>
      <c r="BI39" s="281"/>
      <c r="BJ39" s="281"/>
      <c r="BK39" s="281"/>
      <c r="BL39" s="281"/>
      <c r="BM39" s="281"/>
      <c r="BN39" s="281"/>
      <c r="BO39" s="281"/>
      <c r="BP39" s="281"/>
      <c r="BQ39" s="281"/>
      <c r="BR39" s="281"/>
      <c r="BS39" s="281"/>
      <c r="BT39" s="281"/>
      <c r="BU39" s="281"/>
      <c r="BV39" s="281"/>
      <c r="BW39" s="281"/>
      <c r="BX39" s="281"/>
      <c r="BY39" s="281"/>
      <c r="BZ39" s="281"/>
      <c r="CA39" s="281"/>
      <c r="CB39" s="281"/>
      <c r="CC39" s="281"/>
      <c r="CD39" s="281"/>
      <c r="CE39" s="281"/>
      <c r="CF39" s="281"/>
      <c r="CG39" s="281"/>
      <c r="CH39" s="281">
        <v>36473.691071377209</v>
      </c>
      <c r="CI39" s="281"/>
      <c r="CJ39" s="281"/>
      <c r="CK39" s="281"/>
      <c r="CL39" s="281"/>
      <c r="CM39" s="281"/>
      <c r="CN39" s="281"/>
      <c r="CO39" s="281"/>
      <c r="CP39" s="281"/>
      <c r="CQ39" s="281"/>
      <c r="CR39" s="281"/>
      <c r="CS39" s="281"/>
      <c r="CT39" s="281"/>
      <c r="CU39" s="281"/>
      <c r="CV39" s="281"/>
      <c r="CW39" s="281"/>
      <c r="CX39" s="281"/>
      <c r="CY39" s="281"/>
      <c r="CZ39" s="281"/>
      <c r="DA39" s="281"/>
      <c r="DB39" s="281"/>
      <c r="DC39" s="281"/>
      <c r="DD39" s="281"/>
      <c r="DE39" s="281"/>
      <c r="DF39" s="281"/>
      <c r="DG39" s="281"/>
      <c r="DH39" s="281"/>
      <c r="DI39" s="281"/>
      <c r="DJ39" s="281"/>
      <c r="DK39" s="281"/>
      <c r="DL39" s="281"/>
      <c r="DM39" s="281"/>
      <c r="DN39" s="281"/>
      <c r="DO39" s="281"/>
      <c r="DP39" s="281"/>
      <c r="DQ39" s="281"/>
      <c r="DR39" s="281"/>
      <c r="DS39" s="281"/>
      <c r="DT39" s="281"/>
      <c r="DU39" s="281"/>
      <c r="DV39" s="281"/>
      <c r="DW39" s="281"/>
      <c r="DX39" s="281"/>
      <c r="DY39" s="281"/>
      <c r="DZ39" s="281"/>
      <c r="EA39" s="281"/>
      <c r="EB39" s="281"/>
      <c r="EC39" s="281"/>
      <c r="ED39" s="281"/>
      <c r="EE39" s="281"/>
      <c r="EF39" s="281"/>
      <c r="EG39" s="281"/>
      <c r="EH39" s="281"/>
      <c r="EI39" s="281"/>
      <c r="EJ39" s="281"/>
      <c r="EK39" s="281"/>
      <c r="EL39" s="281">
        <v>36473.691071377209</v>
      </c>
    </row>
    <row r="40" spans="1:142" x14ac:dyDescent="0.25">
      <c r="A40" s="279" t="s">
        <v>1621</v>
      </c>
      <c r="B40" s="281"/>
      <c r="C40" s="281"/>
      <c r="D40" s="281"/>
      <c r="E40" s="281"/>
      <c r="F40" s="281"/>
      <c r="G40" s="281"/>
      <c r="H40" s="281"/>
      <c r="I40" s="281"/>
      <c r="J40" s="281"/>
      <c r="K40" s="281"/>
      <c r="L40" s="281"/>
      <c r="M40" s="281"/>
      <c r="N40" s="281"/>
      <c r="O40" s="281"/>
      <c r="P40" s="281"/>
      <c r="Q40" s="281"/>
      <c r="R40" s="281"/>
      <c r="S40" s="281"/>
      <c r="T40" s="281"/>
      <c r="U40" s="281"/>
      <c r="V40" s="281"/>
      <c r="W40" s="281"/>
      <c r="X40" s="281"/>
      <c r="Y40" s="281"/>
      <c r="Z40" s="281"/>
      <c r="AA40" s="281"/>
      <c r="AB40" s="281"/>
      <c r="AC40" s="281"/>
      <c r="AD40" s="281"/>
      <c r="AE40" s="281"/>
      <c r="AF40" s="281"/>
      <c r="AG40" s="281"/>
      <c r="AH40" s="281"/>
      <c r="AI40" s="281"/>
      <c r="AJ40" s="281"/>
      <c r="AK40" s="281"/>
      <c r="AL40" s="281"/>
      <c r="AM40" s="281"/>
      <c r="AN40" s="281"/>
      <c r="AO40" s="281"/>
      <c r="AP40" s="281"/>
      <c r="AQ40" s="281"/>
      <c r="AR40" s="281"/>
      <c r="AS40" s="281"/>
      <c r="AT40" s="281"/>
      <c r="AU40" s="281"/>
      <c r="AV40" s="281"/>
      <c r="AW40" s="281"/>
      <c r="AX40" s="281"/>
      <c r="AY40" s="281"/>
      <c r="AZ40" s="281"/>
      <c r="BA40" s="281"/>
      <c r="BB40" s="281"/>
      <c r="BC40" s="281"/>
      <c r="BD40" s="281"/>
      <c r="BE40" s="281"/>
      <c r="BF40" s="281"/>
      <c r="BG40" s="281"/>
      <c r="BH40" s="281"/>
      <c r="BI40" s="281"/>
      <c r="BJ40" s="281"/>
      <c r="BK40" s="281"/>
      <c r="BL40" s="281"/>
      <c r="BM40" s="281"/>
      <c r="BN40" s="281"/>
      <c r="BO40" s="281"/>
      <c r="BP40" s="281"/>
      <c r="BQ40" s="281"/>
      <c r="BR40" s="281"/>
      <c r="BS40" s="281"/>
      <c r="BT40" s="281"/>
      <c r="BU40" s="281"/>
      <c r="BV40" s="281"/>
      <c r="BW40" s="281"/>
      <c r="BX40" s="281"/>
      <c r="BY40" s="281"/>
      <c r="BZ40" s="281"/>
      <c r="CA40" s="281"/>
      <c r="CB40" s="281"/>
      <c r="CC40" s="281"/>
      <c r="CD40" s="281"/>
      <c r="CE40" s="281"/>
      <c r="CF40" s="281"/>
      <c r="CG40" s="281"/>
      <c r="CH40" s="281"/>
      <c r="CI40" s="281">
        <v>179750.31350728092</v>
      </c>
      <c r="CJ40" s="281"/>
      <c r="CK40" s="281"/>
      <c r="CL40" s="281"/>
      <c r="CM40" s="281"/>
      <c r="CN40" s="281"/>
      <c r="CO40" s="281"/>
      <c r="CP40" s="281"/>
      <c r="CQ40" s="281"/>
      <c r="CR40" s="281"/>
      <c r="CS40" s="281"/>
      <c r="CT40" s="281"/>
      <c r="CU40" s="281"/>
      <c r="CV40" s="281"/>
      <c r="CW40" s="281"/>
      <c r="CX40" s="281"/>
      <c r="CY40" s="281"/>
      <c r="CZ40" s="281"/>
      <c r="DA40" s="281"/>
      <c r="DB40" s="281"/>
      <c r="DC40" s="281"/>
      <c r="DD40" s="281"/>
      <c r="DE40" s="281"/>
      <c r="DF40" s="281"/>
      <c r="DG40" s="281"/>
      <c r="DH40" s="281"/>
      <c r="DI40" s="281"/>
      <c r="DJ40" s="281"/>
      <c r="DK40" s="281"/>
      <c r="DL40" s="281"/>
      <c r="DM40" s="281"/>
      <c r="DN40" s="281"/>
      <c r="DO40" s="281"/>
      <c r="DP40" s="281"/>
      <c r="DQ40" s="281"/>
      <c r="DR40" s="281"/>
      <c r="DS40" s="281"/>
      <c r="DT40" s="281"/>
      <c r="DU40" s="281"/>
      <c r="DV40" s="281"/>
      <c r="DW40" s="281"/>
      <c r="DX40" s="281"/>
      <c r="DY40" s="281"/>
      <c r="DZ40" s="281"/>
      <c r="EA40" s="281"/>
      <c r="EB40" s="281"/>
      <c r="EC40" s="281"/>
      <c r="ED40" s="281"/>
      <c r="EE40" s="281"/>
      <c r="EF40" s="281"/>
      <c r="EG40" s="281"/>
      <c r="EH40" s="281"/>
      <c r="EI40" s="281"/>
      <c r="EJ40" s="281"/>
      <c r="EK40" s="281"/>
      <c r="EL40" s="281">
        <v>179750.31350728092</v>
      </c>
    </row>
    <row r="41" spans="1:142" x14ac:dyDescent="0.25">
      <c r="A41" s="279" t="s">
        <v>1620</v>
      </c>
      <c r="B41" s="281"/>
      <c r="C41" s="281"/>
      <c r="D41" s="281"/>
      <c r="E41" s="281"/>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1"/>
      <c r="AY41" s="281"/>
      <c r="AZ41" s="281"/>
      <c r="BA41" s="281"/>
      <c r="BB41" s="281"/>
      <c r="BC41" s="281"/>
      <c r="BD41" s="281"/>
      <c r="BE41" s="281"/>
      <c r="BF41" s="281"/>
      <c r="BG41" s="281"/>
      <c r="BH41" s="281"/>
      <c r="BI41" s="281"/>
      <c r="BJ41" s="281"/>
      <c r="BK41" s="281"/>
      <c r="BL41" s="281"/>
      <c r="BM41" s="281"/>
      <c r="BN41" s="281"/>
      <c r="BO41" s="281"/>
      <c r="BP41" s="281"/>
      <c r="BQ41" s="281"/>
      <c r="BR41" s="281"/>
      <c r="BS41" s="281"/>
      <c r="BT41" s="281"/>
      <c r="BU41" s="281"/>
      <c r="BV41" s="281"/>
      <c r="BW41" s="281"/>
      <c r="BX41" s="281"/>
      <c r="BY41" s="281"/>
      <c r="BZ41" s="281"/>
      <c r="CA41" s="281"/>
      <c r="CB41" s="281"/>
      <c r="CC41" s="281"/>
      <c r="CD41" s="281"/>
      <c r="CE41" s="281"/>
      <c r="CF41" s="281"/>
      <c r="CG41" s="281"/>
      <c r="CH41" s="281"/>
      <c r="CI41" s="281"/>
      <c r="CJ41" s="281">
        <v>19232.415690242549</v>
      </c>
      <c r="CK41" s="281"/>
      <c r="CL41" s="281"/>
      <c r="CM41" s="281"/>
      <c r="CN41" s="281"/>
      <c r="CO41" s="281"/>
      <c r="CP41" s="281"/>
      <c r="CQ41" s="281"/>
      <c r="CR41" s="281"/>
      <c r="CS41" s="281"/>
      <c r="CT41" s="281"/>
      <c r="CU41" s="281"/>
      <c r="CV41" s="281"/>
      <c r="CW41" s="281"/>
      <c r="CX41" s="281"/>
      <c r="CY41" s="281"/>
      <c r="CZ41" s="281"/>
      <c r="DA41" s="281"/>
      <c r="DB41" s="281"/>
      <c r="DC41" s="281"/>
      <c r="DD41" s="281"/>
      <c r="DE41" s="281"/>
      <c r="DF41" s="281"/>
      <c r="DG41" s="281"/>
      <c r="DH41" s="281"/>
      <c r="DI41" s="281"/>
      <c r="DJ41" s="281"/>
      <c r="DK41" s="281"/>
      <c r="DL41" s="281"/>
      <c r="DM41" s="281"/>
      <c r="DN41" s="281"/>
      <c r="DO41" s="281"/>
      <c r="DP41" s="281"/>
      <c r="DQ41" s="281"/>
      <c r="DR41" s="281"/>
      <c r="DS41" s="281"/>
      <c r="DT41" s="281"/>
      <c r="DU41" s="281"/>
      <c r="DV41" s="281"/>
      <c r="DW41" s="281"/>
      <c r="DX41" s="281"/>
      <c r="DY41" s="281"/>
      <c r="DZ41" s="281"/>
      <c r="EA41" s="281"/>
      <c r="EB41" s="281"/>
      <c r="EC41" s="281"/>
      <c r="ED41" s="281"/>
      <c r="EE41" s="281"/>
      <c r="EF41" s="281"/>
      <c r="EG41" s="281"/>
      <c r="EH41" s="281"/>
      <c r="EI41" s="281"/>
      <c r="EJ41" s="281"/>
      <c r="EK41" s="281"/>
      <c r="EL41" s="281">
        <v>19232.415690242549</v>
      </c>
    </row>
    <row r="42" spans="1:142" x14ac:dyDescent="0.25">
      <c r="A42" s="279" t="s">
        <v>1619</v>
      </c>
      <c r="B42" s="281"/>
      <c r="C42" s="281"/>
      <c r="D42" s="281"/>
      <c r="E42" s="281"/>
      <c r="F42" s="281"/>
      <c r="G42" s="281"/>
      <c r="H42" s="281"/>
      <c r="I42" s="281"/>
      <c r="J42" s="281"/>
      <c r="K42" s="281"/>
      <c r="L42" s="281"/>
      <c r="M42" s="281"/>
      <c r="N42" s="281"/>
      <c r="O42" s="281"/>
      <c r="P42" s="281"/>
      <c r="Q42" s="281"/>
      <c r="R42" s="281"/>
      <c r="S42" s="281"/>
      <c r="T42" s="281"/>
      <c r="U42" s="281"/>
      <c r="V42" s="281"/>
      <c r="W42" s="281"/>
      <c r="X42" s="281"/>
      <c r="Y42" s="281"/>
      <c r="Z42" s="281"/>
      <c r="AA42" s="281"/>
      <c r="AB42" s="281"/>
      <c r="AC42" s="281"/>
      <c r="AD42" s="281"/>
      <c r="AE42" s="281"/>
      <c r="AF42" s="281"/>
      <c r="AG42" s="281"/>
      <c r="AH42" s="281"/>
      <c r="AI42" s="281"/>
      <c r="AJ42" s="281"/>
      <c r="AK42" s="281"/>
      <c r="AL42" s="281"/>
      <c r="AM42" s="281"/>
      <c r="AN42" s="281"/>
      <c r="AO42" s="281"/>
      <c r="AP42" s="281"/>
      <c r="AQ42" s="281"/>
      <c r="AR42" s="281"/>
      <c r="AS42" s="281"/>
      <c r="AT42" s="281"/>
      <c r="AU42" s="281"/>
      <c r="AV42" s="281"/>
      <c r="AW42" s="281"/>
      <c r="AX42" s="281"/>
      <c r="AY42" s="281"/>
      <c r="AZ42" s="281"/>
      <c r="BA42" s="281"/>
      <c r="BB42" s="281"/>
      <c r="BC42" s="281"/>
      <c r="BD42" s="281"/>
      <c r="BE42" s="281"/>
      <c r="BF42" s="281"/>
      <c r="BG42" s="281"/>
      <c r="BH42" s="281"/>
      <c r="BI42" s="281"/>
      <c r="BJ42" s="281"/>
      <c r="BK42" s="281"/>
      <c r="BL42" s="281"/>
      <c r="BM42" s="281"/>
      <c r="BN42" s="281"/>
      <c r="BO42" s="281"/>
      <c r="BP42" s="281"/>
      <c r="BQ42" s="281"/>
      <c r="BR42" s="281"/>
      <c r="BS42" s="281"/>
      <c r="BT42" s="281"/>
      <c r="BU42" s="281"/>
      <c r="BV42" s="281"/>
      <c r="BW42" s="281"/>
      <c r="BX42" s="281"/>
      <c r="BY42" s="281"/>
      <c r="BZ42" s="281"/>
      <c r="CA42" s="281"/>
      <c r="CB42" s="281"/>
      <c r="CC42" s="281"/>
      <c r="CD42" s="281"/>
      <c r="CE42" s="281"/>
      <c r="CF42" s="281"/>
      <c r="CG42" s="281"/>
      <c r="CH42" s="281"/>
      <c r="CI42" s="281"/>
      <c r="CJ42" s="281"/>
      <c r="CK42" s="281">
        <v>19730.995927888711</v>
      </c>
      <c r="CL42" s="281"/>
      <c r="CM42" s="281"/>
      <c r="CN42" s="281"/>
      <c r="CO42" s="281"/>
      <c r="CP42" s="281"/>
      <c r="CQ42" s="281"/>
      <c r="CR42" s="281"/>
      <c r="CS42" s="281"/>
      <c r="CT42" s="281"/>
      <c r="CU42" s="281"/>
      <c r="CV42" s="281"/>
      <c r="CW42" s="281"/>
      <c r="CX42" s="281"/>
      <c r="CY42" s="281"/>
      <c r="CZ42" s="281"/>
      <c r="DA42" s="281"/>
      <c r="DB42" s="281"/>
      <c r="DC42" s="281"/>
      <c r="DD42" s="281"/>
      <c r="DE42" s="281"/>
      <c r="DF42" s="281"/>
      <c r="DG42" s="281"/>
      <c r="DH42" s="281"/>
      <c r="DI42" s="281"/>
      <c r="DJ42" s="281"/>
      <c r="DK42" s="281"/>
      <c r="DL42" s="281"/>
      <c r="DM42" s="281"/>
      <c r="DN42" s="281"/>
      <c r="DO42" s="281"/>
      <c r="DP42" s="281"/>
      <c r="DQ42" s="281"/>
      <c r="DR42" s="281"/>
      <c r="DS42" s="281"/>
      <c r="DT42" s="281"/>
      <c r="DU42" s="281"/>
      <c r="DV42" s="281"/>
      <c r="DW42" s="281"/>
      <c r="DX42" s="281"/>
      <c r="DY42" s="281"/>
      <c r="DZ42" s="281"/>
      <c r="EA42" s="281"/>
      <c r="EB42" s="281"/>
      <c r="EC42" s="281"/>
      <c r="ED42" s="281"/>
      <c r="EE42" s="281"/>
      <c r="EF42" s="281"/>
      <c r="EG42" s="281"/>
      <c r="EH42" s="281"/>
      <c r="EI42" s="281"/>
      <c r="EJ42" s="281"/>
      <c r="EK42" s="281"/>
      <c r="EL42" s="281">
        <v>19730.995927888711</v>
      </c>
    </row>
    <row r="43" spans="1:142" x14ac:dyDescent="0.25">
      <c r="A43" s="279" t="s">
        <v>1618</v>
      </c>
      <c r="B43" s="281"/>
      <c r="C43" s="281"/>
      <c r="D43" s="281"/>
      <c r="E43" s="281"/>
      <c r="F43" s="281"/>
      <c r="G43" s="281"/>
      <c r="H43" s="281"/>
      <c r="I43" s="281"/>
      <c r="J43" s="281"/>
      <c r="K43" s="281"/>
      <c r="L43" s="281"/>
      <c r="M43" s="281"/>
      <c r="N43" s="281"/>
      <c r="O43" s="281"/>
      <c r="P43" s="281"/>
      <c r="Q43" s="281"/>
      <c r="R43" s="281"/>
      <c r="S43" s="281"/>
      <c r="T43" s="281"/>
      <c r="U43" s="281"/>
      <c r="V43" s="281"/>
      <c r="W43" s="281"/>
      <c r="X43" s="281"/>
      <c r="Y43" s="281"/>
      <c r="Z43" s="281"/>
      <c r="AA43" s="281"/>
      <c r="AB43" s="281"/>
      <c r="AC43" s="281"/>
      <c r="AD43" s="281"/>
      <c r="AE43" s="281"/>
      <c r="AF43" s="281"/>
      <c r="AG43" s="281"/>
      <c r="AH43" s="281"/>
      <c r="AI43" s="281"/>
      <c r="AJ43" s="281"/>
      <c r="AK43" s="281"/>
      <c r="AL43" s="281"/>
      <c r="AM43" s="281"/>
      <c r="AN43" s="281"/>
      <c r="AO43" s="281"/>
      <c r="AP43" s="281"/>
      <c r="AQ43" s="281"/>
      <c r="AR43" s="281"/>
      <c r="AS43" s="281"/>
      <c r="AT43" s="281"/>
      <c r="AU43" s="281"/>
      <c r="AV43" s="281"/>
      <c r="AW43" s="281"/>
      <c r="AX43" s="281"/>
      <c r="AY43" s="281"/>
      <c r="AZ43" s="281"/>
      <c r="BA43" s="281"/>
      <c r="BB43" s="281"/>
      <c r="BC43" s="281"/>
      <c r="BD43" s="281"/>
      <c r="BE43" s="281"/>
      <c r="BF43" s="281"/>
      <c r="BG43" s="281"/>
      <c r="BH43" s="281"/>
      <c r="BI43" s="281"/>
      <c r="BJ43" s="281"/>
      <c r="BK43" s="281"/>
      <c r="BL43" s="281"/>
      <c r="BM43" s="281"/>
      <c r="BN43" s="281"/>
      <c r="BO43" s="281"/>
      <c r="BP43" s="281"/>
      <c r="BQ43" s="281"/>
      <c r="BR43" s="281"/>
      <c r="BS43" s="281"/>
      <c r="BT43" s="281"/>
      <c r="BU43" s="281"/>
      <c r="BV43" s="281"/>
      <c r="BW43" s="281"/>
      <c r="BX43" s="281"/>
      <c r="BY43" s="281"/>
      <c r="BZ43" s="281"/>
      <c r="CA43" s="281"/>
      <c r="CB43" s="281"/>
      <c r="CC43" s="281"/>
      <c r="CD43" s="281"/>
      <c r="CE43" s="281"/>
      <c r="CF43" s="281"/>
      <c r="CG43" s="281"/>
      <c r="CH43" s="281"/>
      <c r="CI43" s="281"/>
      <c r="CJ43" s="281"/>
      <c r="CK43" s="281"/>
      <c r="CL43" s="281">
        <v>49317.260275924687</v>
      </c>
      <c r="CM43" s="281"/>
      <c r="CN43" s="281"/>
      <c r="CO43" s="281"/>
      <c r="CP43" s="281"/>
      <c r="CQ43" s="281"/>
      <c r="CR43" s="281"/>
      <c r="CS43" s="281"/>
      <c r="CT43" s="281"/>
      <c r="CU43" s="281"/>
      <c r="CV43" s="281"/>
      <c r="CW43" s="281"/>
      <c r="CX43" s="281"/>
      <c r="CY43" s="281"/>
      <c r="CZ43" s="281"/>
      <c r="DA43" s="281"/>
      <c r="DB43" s="281"/>
      <c r="DC43" s="281"/>
      <c r="DD43" s="281"/>
      <c r="DE43" s="281"/>
      <c r="DF43" s="281"/>
      <c r="DG43" s="281"/>
      <c r="DH43" s="281"/>
      <c r="DI43" s="281"/>
      <c r="DJ43" s="281"/>
      <c r="DK43" s="281"/>
      <c r="DL43" s="281"/>
      <c r="DM43" s="281"/>
      <c r="DN43" s="281"/>
      <c r="DO43" s="281"/>
      <c r="DP43" s="281"/>
      <c r="DQ43" s="281"/>
      <c r="DR43" s="281"/>
      <c r="DS43" s="281"/>
      <c r="DT43" s="281"/>
      <c r="DU43" s="281"/>
      <c r="DV43" s="281"/>
      <c r="DW43" s="281"/>
      <c r="DX43" s="281"/>
      <c r="DY43" s="281"/>
      <c r="DZ43" s="281"/>
      <c r="EA43" s="281"/>
      <c r="EB43" s="281"/>
      <c r="EC43" s="281"/>
      <c r="ED43" s="281"/>
      <c r="EE43" s="281"/>
      <c r="EF43" s="281"/>
      <c r="EG43" s="281"/>
      <c r="EH43" s="281"/>
      <c r="EI43" s="281"/>
      <c r="EJ43" s="281"/>
      <c r="EK43" s="281"/>
      <c r="EL43" s="281">
        <v>49317.260275924687</v>
      </c>
    </row>
    <row r="44" spans="1:142" x14ac:dyDescent="0.25">
      <c r="A44" s="279" t="s">
        <v>1617</v>
      </c>
      <c r="B44" s="281"/>
      <c r="C44" s="281"/>
      <c r="D44" s="281"/>
      <c r="E44" s="281"/>
      <c r="F44" s="281"/>
      <c r="G44" s="281"/>
      <c r="H44" s="281"/>
      <c r="I44" s="281"/>
      <c r="J44" s="281"/>
      <c r="K44" s="281"/>
      <c r="L44" s="281"/>
      <c r="M44" s="281"/>
      <c r="N44" s="281"/>
      <c r="O44" s="281"/>
      <c r="P44" s="281"/>
      <c r="Q44" s="281"/>
      <c r="R44" s="281"/>
      <c r="S44" s="281"/>
      <c r="T44" s="281"/>
      <c r="U44" s="281"/>
      <c r="V44" s="281"/>
      <c r="W44" s="281"/>
      <c r="X44" s="281"/>
      <c r="Y44" s="281"/>
      <c r="Z44" s="281"/>
      <c r="AA44" s="281"/>
      <c r="AB44" s="281"/>
      <c r="AC44" s="281"/>
      <c r="AD44" s="281"/>
      <c r="AE44" s="281"/>
      <c r="AF44" s="281"/>
      <c r="AG44" s="281"/>
      <c r="AH44" s="281"/>
      <c r="AI44" s="281"/>
      <c r="AJ44" s="281"/>
      <c r="AK44" s="281"/>
      <c r="AL44" s="281"/>
      <c r="AM44" s="281"/>
      <c r="AN44" s="281"/>
      <c r="AO44" s="281"/>
      <c r="AP44" s="281"/>
      <c r="AQ44" s="281"/>
      <c r="AR44" s="281"/>
      <c r="AS44" s="281"/>
      <c r="AT44" s="281"/>
      <c r="AU44" s="281"/>
      <c r="AV44" s="281"/>
      <c r="AW44" s="281"/>
      <c r="AX44" s="281"/>
      <c r="AY44" s="281"/>
      <c r="AZ44" s="281"/>
      <c r="BA44" s="281"/>
      <c r="BB44" s="281"/>
      <c r="BC44" s="281"/>
      <c r="BD44" s="281"/>
      <c r="BE44" s="281"/>
      <c r="BF44" s="281"/>
      <c r="BG44" s="281"/>
      <c r="BH44" s="281"/>
      <c r="BI44" s="281"/>
      <c r="BJ44" s="281"/>
      <c r="BK44" s="281"/>
      <c r="BL44" s="281"/>
      <c r="BM44" s="281"/>
      <c r="BN44" s="281"/>
      <c r="BO44" s="281"/>
      <c r="BP44" s="281"/>
      <c r="BQ44" s="281"/>
      <c r="BR44" s="281"/>
      <c r="BS44" s="281"/>
      <c r="BT44" s="281"/>
      <c r="BU44" s="281"/>
      <c r="BV44" s="281"/>
      <c r="BW44" s="281"/>
      <c r="BX44" s="281"/>
      <c r="BY44" s="281"/>
      <c r="BZ44" s="281"/>
      <c r="CA44" s="281"/>
      <c r="CB44" s="281"/>
      <c r="CC44" s="281"/>
      <c r="CD44" s="281"/>
      <c r="CE44" s="281"/>
      <c r="CF44" s="281"/>
      <c r="CG44" s="281"/>
      <c r="CH44" s="281"/>
      <c r="CI44" s="281"/>
      <c r="CJ44" s="281"/>
      <c r="CK44" s="281"/>
      <c r="CL44" s="281"/>
      <c r="CM44" s="281">
        <v>141552.76171426754</v>
      </c>
      <c r="CN44" s="281"/>
      <c r="CO44" s="281"/>
      <c r="CP44" s="281"/>
      <c r="CQ44" s="281"/>
      <c r="CR44" s="281"/>
      <c r="CS44" s="281"/>
      <c r="CT44" s="281"/>
      <c r="CU44" s="281"/>
      <c r="CV44" s="281"/>
      <c r="CW44" s="281"/>
      <c r="CX44" s="281"/>
      <c r="CY44" s="281"/>
      <c r="CZ44" s="281"/>
      <c r="DA44" s="281"/>
      <c r="DB44" s="281"/>
      <c r="DC44" s="281"/>
      <c r="DD44" s="281"/>
      <c r="DE44" s="281"/>
      <c r="DF44" s="281"/>
      <c r="DG44" s="281"/>
      <c r="DH44" s="281"/>
      <c r="DI44" s="281"/>
      <c r="DJ44" s="281"/>
      <c r="DK44" s="281"/>
      <c r="DL44" s="281"/>
      <c r="DM44" s="281"/>
      <c r="DN44" s="281"/>
      <c r="DO44" s="281"/>
      <c r="DP44" s="281"/>
      <c r="DQ44" s="281"/>
      <c r="DR44" s="281"/>
      <c r="DS44" s="281"/>
      <c r="DT44" s="281"/>
      <c r="DU44" s="281"/>
      <c r="DV44" s="281"/>
      <c r="DW44" s="281"/>
      <c r="DX44" s="281"/>
      <c r="DY44" s="281"/>
      <c r="DZ44" s="281"/>
      <c r="EA44" s="281"/>
      <c r="EB44" s="281"/>
      <c r="EC44" s="281"/>
      <c r="ED44" s="281"/>
      <c r="EE44" s="281"/>
      <c r="EF44" s="281"/>
      <c r="EG44" s="281"/>
      <c r="EH44" s="281"/>
      <c r="EI44" s="281"/>
      <c r="EJ44" s="281"/>
      <c r="EK44" s="281"/>
      <c r="EL44" s="281">
        <v>141552.76171426754</v>
      </c>
    </row>
    <row r="45" spans="1:142" x14ac:dyDescent="0.25">
      <c r="A45" s="279" t="s">
        <v>1616</v>
      </c>
      <c r="B45" s="281"/>
      <c r="C45" s="281"/>
      <c r="D45" s="281"/>
      <c r="E45" s="281"/>
      <c r="F45" s="281"/>
      <c r="G45" s="281"/>
      <c r="H45" s="281"/>
      <c r="I45" s="281"/>
      <c r="J45" s="281"/>
      <c r="K45" s="281"/>
      <c r="L45" s="281"/>
      <c r="M45" s="281"/>
      <c r="N45" s="281"/>
      <c r="O45" s="281"/>
      <c r="P45" s="281"/>
      <c r="Q45" s="281"/>
      <c r="R45" s="281"/>
      <c r="S45" s="281"/>
      <c r="T45" s="281"/>
      <c r="U45" s="281"/>
      <c r="V45" s="281"/>
      <c r="W45" s="281"/>
      <c r="X45" s="281"/>
      <c r="Y45" s="281"/>
      <c r="Z45" s="281"/>
      <c r="AA45" s="281"/>
      <c r="AB45" s="281"/>
      <c r="AC45" s="281"/>
      <c r="AD45" s="281"/>
      <c r="AE45" s="281"/>
      <c r="AF45" s="281"/>
      <c r="AG45" s="281"/>
      <c r="AH45" s="281"/>
      <c r="AI45" s="281"/>
      <c r="AJ45" s="281"/>
      <c r="AK45" s="281"/>
      <c r="AL45" s="281"/>
      <c r="AM45" s="281"/>
      <c r="AN45" s="281"/>
      <c r="AO45" s="281"/>
      <c r="AP45" s="281"/>
      <c r="AQ45" s="281"/>
      <c r="AR45" s="281"/>
      <c r="AS45" s="281"/>
      <c r="AT45" s="281"/>
      <c r="AU45" s="281"/>
      <c r="AV45" s="281"/>
      <c r="AW45" s="281"/>
      <c r="AX45" s="281"/>
      <c r="AY45" s="281"/>
      <c r="AZ45" s="281"/>
      <c r="BA45" s="281"/>
      <c r="BB45" s="281"/>
      <c r="BC45" s="281"/>
      <c r="BD45" s="281"/>
      <c r="BE45" s="281"/>
      <c r="BF45" s="281"/>
      <c r="BG45" s="281"/>
      <c r="BH45" s="281"/>
      <c r="BI45" s="281"/>
      <c r="BJ45" s="281"/>
      <c r="BK45" s="281"/>
      <c r="BL45" s="281"/>
      <c r="BM45" s="281"/>
      <c r="BN45" s="281"/>
      <c r="BO45" s="281"/>
      <c r="BP45" s="281"/>
      <c r="BQ45" s="281"/>
      <c r="BR45" s="281"/>
      <c r="BS45" s="281"/>
      <c r="BT45" s="281"/>
      <c r="BU45" s="281"/>
      <c r="BV45" s="281"/>
      <c r="BW45" s="281"/>
      <c r="BX45" s="281"/>
      <c r="BY45" s="281"/>
      <c r="BZ45" s="281"/>
      <c r="CA45" s="281"/>
      <c r="CB45" s="281"/>
      <c r="CC45" s="281"/>
      <c r="CD45" s="281"/>
      <c r="CE45" s="281"/>
      <c r="CF45" s="281"/>
      <c r="CG45" s="281"/>
      <c r="CH45" s="281"/>
      <c r="CI45" s="281"/>
      <c r="CJ45" s="281"/>
      <c r="CK45" s="281"/>
      <c r="CL45" s="281"/>
      <c r="CM45" s="281"/>
      <c r="CN45" s="281">
        <v>50240.643179344377</v>
      </c>
      <c r="CO45" s="281"/>
      <c r="CP45" s="281"/>
      <c r="CQ45" s="281"/>
      <c r="CR45" s="281"/>
      <c r="CS45" s="281"/>
      <c r="CT45" s="281"/>
      <c r="CU45" s="281"/>
      <c r="CV45" s="281"/>
      <c r="CW45" s="281"/>
      <c r="CX45" s="281"/>
      <c r="CY45" s="281"/>
      <c r="CZ45" s="281"/>
      <c r="DA45" s="281"/>
      <c r="DB45" s="281"/>
      <c r="DC45" s="281"/>
      <c r="DD45" s="281"/>
      <c r="DE45" s="281"/>
      <c r="DF45" s="281"/>
      <c r="DG45" s="281"/>
      <c r="DH45" s="281"/>
      <c r="DI45" s="281"/>
      <c r="DJ45" s="281"/>
      <c r="DK45" s="281"/>
      <c r="DL45" s="281"/>
      <c r="DM45" s="281"/>
      <c r="DN45" s="281"/>
      <c r="DO45" s="281"/>
      <c r="DP45" s="281"/>
      <c r="DQ45" s="281"/>
      <c r="DR45" s="281"/>
      <c r="DS45" s="281"/>
      <c r="DT45" s="281"/>
      <c r="DU45" s="281"/>
      <c r="DV45" s="281"/>
      <c r="DW45" s="281"/>
      <c r="DX45" s="281"/>
      <c r="DY45" s="281"/>
      <c r="DZ45" s="281"/>
      <c r="EA45" s="281"/>
      <c r="EB45" s="281"/>
      <c r="EC45" s="281"/>
      <c r="ED45" s="281"/>
      <c r="EE45" s="281"/>
      <c r="EF45" s="281"/>
      <c r="EG45" s="281"/>
      <c r="EH45" s="281"/>
      <c r="EI45" s="281"/>
      <c r="EJ45" s="281"/>
      <c r="EK45" s="281"/>
      <c r="EL45" s="281">
        <v>50240.643179344377</v>
      </c>
    </row>
    <row r="46" spans="1:142" x14ac:dyDescent="0.25">
      <c r="A46" s="279" t="s">
        <v>1615</v>
      </c>
      <c r="B46" s="281"/>
      <c r="C46" s="281"/>
      <c r="D46" s="281"/>
      <c r="E46" s="281"/>
      <c r="F46" s="281"/>
      <c r="G46" s="281"/>
      <c r="H46" s="281"/>
      <c r="I46" s="281"/>
      <c r="J46" s="281"/>
      <c r="K46" s="281"/>
      <c r="L46" s="281"/>
      <c r="M46" s="281"/>
      <c r="N46" s="281"/>
      <c r="O46" s="281"/>
      <c r="P46" s="281"/>
      <c r="Q46" s="281"/>
      <c r="R46" s="281"/>
      <c r="S46" s="281"/>
      <c r="T46" s="281"/>
      <c r="U46" s="281"/>
      <c r="V46" s="281"/>
      <c r="W46" s="281"/>
      <c r="X46" s="281"/>
      <c r="Y46" s="281"/>
      <c r="Z46" s="281"/>
      <c r="AA46" s="281"/>
      <c r="AB46" s="281"/>
      <c r="AC46" s="281"/>
      <c r="AD46" s="281"/>
      <c r="AE46" s="281"/>
      <c r="AF46" s="281"/>
      <c r="AG46" s="281"/>
      <c r="AH46" s="281"/>
      <c r="AI46" s="281"/>
      <c r="AJ46" s="281"/>
      <c r="AK46" s="281"/>
      <c r="AL46" s="281"/>
      <c r="AM46" s="281"/>
      <c r="AN46" s="281"/>
      <c r="AO46" s="281"/>
      <c r="AP46" s="281"/>
      <c r="AQ46" s="281"/>
      <c r="AR46" s="281"/>
      <c r="AS46" s="281"/>
      <c r="AT46" s="281"/>
      <c r="AU46" s="281"/>
      <c r="AV46" s="281"/>
      <c r="AW46" s="281"/>
      <c r="AX46" s="281"/>
      <c r="AY46" s="281"/>
      <c r="AZ46" s="281"/>
      <c r="BA46" s="281"/>
      <c r="BB46" s="281"/>
      <c r="BC46" s="281"/>
      <c r="BD46" s="281"/>
      <c r="BE46" s="281"/>
      <c r="BF46" s="281"/>
      <c r="BG46" s="281"/>
      <c r="BH46" s="281"/>
      <c r="BI46" s="281"/>
      <c r="BJ46" s="281"/>
      <c r="BK46" s="281"/>
      <c r="BL46" s="281"/>
      <c r="BM46" s="281"/>
      <c r="BN46" s="281"/>
      <c r="BO46" s="281"/>
      <c r="BP46" s="281"/>
      <c r="BQ46" s="281"/>
      <c r="BR46" s="281"/>
      <c r="BS46" s="281"/>
      <c r="BT46" s="281"/>
      <c r="BU46" s="281"/>
      <c r="BV46" s="281"/>
      <c r="BW46" s="281"/>
      <c r="BX46" s="281"/>
      <c r="BY46" s="281"/>
      <c r="BZ46" s="281"/>
      <c r="CA46" s="281"/>
      <c r="CB46" s="281"/>
      <c r="CC46" s="281"/>
      <c r="CD46" s="281"/>
      <c r="CE46" s="281"/>
      <c r="CF46" s="281"/>
      <c r="CG46" s="281"/>
      <c r="CH46" s="281"/>
      <c r="CI46" s="281"/>
      <c r="CJ46" s="281"/>
      <c r="CK46" s="281"/>
      <c r="CL46" s="281"/>
      <c r="CM46" s="281"/>
      <c r="CN46" s="281"/>
      <c r="CO46" s="281">
        <v>372366.40617693763</v>
      </c>
      <c r="CP46" s="281"/>
      <c r="CQ46" s="281"/>
      <c r="CR46" s="281"/>
      <c r="CS46" s="281"/>
      <c r="CT46" s="281"/>
      <c r="CU46" s="281"/>
      <c r="CV46" s="281"/>
      <c r="CW46" s="281"/>
      <c r="CX46" s="281"/>
      <c r="CY46" s="281"/>
      <c r="CZ46" s="281"/>
      <c r="DA46" s="281"/>
      <c r="DB46" s="281"/>
      <c r="DC46" s="281"/>
      <c r="DD46" s="281"/>
      <c r="DE46" s="281"/>
      <c r="DF46" s="281"/>
      <c r="DG46" s="281"/>
      <c r="DH46" s="281"/>
      <c r="DI46" s="281"/>
      <c r="DJ46" s="281"/>
      <c r="DK46" s="281"/>
      <c r="DL46" s="281"/>
      <c r="DM46" s="281"/>
      <c r="DN46" s="281"/>
      <c r="DO46" s="281"/>
      <c r="DP46" s="281"/>
      <c r="DQ46" s="281"/>
      <c r="DR46" s="281"/>
      <c r="DS46" s="281"/>
      <c r="DT46" s="281"/>
      <c r="DU46" s="281"/>
      <c r="DV46" s="281"/>
      <c r="DW46" s="281"/>
      <c r="DX46" s="281"/>
      <c r="DY46" s="281"/>
      <c r="DZ46" s="281"/>
      <c r="EA46" s="281"/>
      <c r="EB46" s="281"/>
      <c r="EC46" s="281"/>
      <c r="ED46" s="281"/>
      <c r="EE46" s="281"/>
      <c r="EF46" s="281"/>
      <c r="EG46" s="281"/>
      <c r="EH46" s="281"/>
      <c r="EI46" s="281"/>
      <c r="EJ46" s="281"/>
      <c r="EK46" s="281"/>
      <c r="EL46" s="281">
        <v>372366.40617693763</v>
      </c>
    </row>
    <row r="47" spans="1:142" x14ac:dyDescent="0.25">
      <c r="A47" s="279" t="s">
        <v>1614</v>
      </c>
      <c r="B47" s="281"/>
      <c r="C47" s="281"/>
      <c r="D47" s="281"/>
      <c r="E47" s="281"/>
      <c r="F47" s="281"/>
      <c r="G47" s="281"/>
      <c r="H47" s="281"/>
      <c r="I47" s="281"/>
      <c r="J47" s="281"/>
      <c r="K47" s="281"/>
      <c r="L47" s="281"/>
      <c r="M47" s="281"/>
      <c r="N47" s="281"/>
      <c r="O47" s="281"/>
      <c r="P47" s="281"/>
      <c r="Q47" s="281"/>
      <c r="R47" s="281"/>
      <c r="S47" s="281"/>
      <c r="T47" s="281"/>
      <c r="U47" s="281"/>
      <c r="V47" s="281"/>
      <c r="W47" s="281"/>
      <c r="X47" s="281"/>
      <c r="Y47" s="281"/>
      <c r="Z47" s="281"/>
      <c r="AA47" s="281"/>
      <c r="AB47" s="281"/>
      <c r="AC47" s="281"/>
      <c r="AD47" s="281"/>
      <c r="AE47" s="281"/>
      <c r="AF47" s="281"/>
      <c r="AG47" s="281"/>
      <c r="AH47" s="281"/>
      <c r="AI47" s="281"/>
      <c r="AJ47" s="281"/>
      <c r="AK47" s="281"/>
      <c r="AL47" s="281"/>
      <c r="AM47" s="281"/>
      <c r="AN47" s="281"/>
      <c r="AO47" s="281"/>
      <c r="AP47" s="281"/>
      <c r="AQ47" s="281"/>
      <c r="AR47" s="281"/>
      <c r="AS47" s="281"/>
      <c r="AT47" s="281"/>
      <c r="AU47" s="281"/>
      <c r="AV47" s="281"/>
      <c r="AW47" s="281"/>
      <c r="AX47" s="281"/>
      <c r="AY47" s="281"/>
      <c r="AZ47" s="281"/>
      <c r="BA47" s="281"/>
      <c r="BB47" s="281"/>
      <c r="BC47" s="281"/>
      <c r="BD47" s="281"/>
      <c r="BE47" s="281"/>
      <c r="BF47" s="281"/>
      <c r="BG47" s="281"/>
      <c r="BH47" s="281"/>
      <c r="BI47" s="281"/>
      <c r="BJ47" s="281"/>
      <c r="BK47" s="281"/>
      <c r="BL47" s="281"/>
      <c r="BM47" s="281"/>
      <c r="BN47" s="281"/>
      <c r="BO47" s="281"/>
      <c r="BP47" s="281"/>
      <c r="BQ47" s="281"/>
      <c r="BR47" s="281"/>
      <c r="BS47" s="281"/>
      <c r="BT47" s="281"/>
      <c r="BU47" s="281"/>
      <c r="BV47" s="281"/>
      <c r="BW47" s="281"/>
      <c r="BX47" s="281"/>
      <c r="BY47" s="281"/>
      <c r="BZ47" s="281"/>
      <c r="CA47" s="281"/>
      <c r="CB47" s="281"/>
      <c r="CC47" s="281"/>
      <c r="CD47" s="281"/>
      <c r="CE47" s="281"/>
      <c r="CF47" s="281"/>
      <c r="CG47" s="281"/>
      <c r="CH47" s="281"/>
      <c r="CI47" s="281"/>
      <c r="CJ47" s="281"/>
      <c r="CK47" s="281"/>
      <c r="CL47" s="281"/>
      <c r="CM47" s="281"/>
      <c r="CN47" s="281"/>
      <c r="CO47" s="281"/>
      <c r="CP47" s="281">
        <v>702232.04950263188</v>
      </c>
      <c r="CQ47" s="281"/>
      <c r="CR47" s="281"/>
      <c r="CS47" s="281"/>
      <c r="CT47" s="281"/>
      <c r="CU47" s="281"/>
      <c r="CV47" s="281"/>
      <c r="CW47" s="281"/>
      <c r="CX47" s="281"/>
      <c r="CY47" s="281"/>
      <c r="CZ47" s="281"/>
      <c r="DA47" s="281"/>
      <c r="DB47" s="281"/>
      <c r="DC47" s="281"/>
      <c r="DD47" s="281"/>
      <c r="DE47" s="281"/>
      <c r="DF47" s="281"/>
      <c r="DG47" s="281"/>
      <c r="DH47" s="281"/>
      <c r="DI47" s="281"/>
      <c r="DJ47" s="281"/>
      <c r="DK47" s="281"/>
      <c r="DL47" s="281"/>
      <c r="DM47" s="281"/>
      <c r="DN47" s="281"/>
      <c r="DO47" s="281"/>
      <c r="DP47" s="281"/>
      <c r="DQ47" s="281"/>
      <c r="DR47" s="281"/>
      <c r="DS47" s="281"/>
      <c r="DT47" s="281"/>
      <c r="DU47" s="281"/>
      <c r="DV47" s="281"/>
      <c r="DW47" s="281"/>
      <c r="DX47" s="281"/>
      <c r="DY47" s="281"/>
      <c r="DZ47" s="281"/>
      <c r="EA47" s="281"/>
      <c r="EB47" s="281"/>
      <c r="EC47" s="281"/>
      <c r="ED47" s="281"/>
      <c r="EE47" s="281"/>
      <c r="EF47" s="281"/>
      <c r="EG47" s="281"/>
      <c r="EH47" s="281"/>
      <c r="EI47" s="281"/>
      <c r="EJ47" s="281"/>
      <c r="EK47" s="281"/>
      <c r="EL47" s="281">
        <v>702232.04950263188</v>
      </c>
    </row>
    <row r="48" spans="1:142" x14ac:dyDescent="0.25">
      <c r="A48" s="279" t="s">
        <v>1613</v>
      </c>
      <c r="B48" s="281"/>
      <c r="C48" s="281"/>
      <c r="D48" s="281"/>
      <c r="E48" s="281"/>
      <c r="F48" s="281"/>
      <c r="G48" s="281"/>
      <c r="H48" s="281"/>
      <c r="I48" s="281"/>
      <c r="J48" s="281"/>
      <c r="K48" s="281"/>
      <c r="L48" s="281"/>
      <c r="M48" s="281"/>
      <c r="N48" s="281"/>
      <c r="O48" s="281"/>
      <c r="P48" s="281"/>
      <c r="Q48" s="281"/>
      <c r="R48" s="281"/>
      <c r="S48" s="281"/>
      <c r="T48" s="281"/>
      <c r="U48" s="281"/>
      <c r="V48" s="281"/>
      <c r="W48" s="281"/>
      <c r="X48" s="281"/>
      <c r="Y48" s="281"/>
      <c r="Z48" s="281"/>
      <c r="AA48" s="281"/>
      <c r="AB48" s="281"/>
      <c r="AC48" s="281"/>
      <c r="AD48" s="281"/>
      <c r="AE48" s="281"/>
      <c r="AF48" s="281"/>
      <c r="AG48" s="281"/>
      <c r="AH48" s="281"/>
      <c r="AI48" s="281"/>
      <c r="AJ48" s="281"/>
      <c r="AK48" s="281"/>
      <c r="AL48" s="281"/>
      <c r="AM48" s="281"/>
      <c r="AN48" s="281"/>
      <c r="AO48" s="281"/>
      <c r="AP48" s="281"/>
      <c r="AQ48" s="281"/>
      <c r="AR48" s="281"/>
      <c r="AS48" s="281"/>
      <c r="AT48" s="281"/>
      <c r="AU48" s="281"/>
      <c r="AV48" s="281"/>
      <c r="AW48" s="281"/>
      <c r="AX48" s="281"/>
      <c r="AY48" s="281"/>
      <c r="AZ48" s="281"/>
      <c r="BA48" s="281"/>
      <c r="BB48" s="281"/>
      <c r="BC48" s="281"/>
      <c r="BD48" s="281"/>
      <c r="BE48" s="281"/>
      <c r="BF48" s="281"/>
      <c r="BG48" s="281"/>
      <c r="BH48" s="281"/>
      <c r="BI48" s="281"/>
      <c r="BJ48" s="281"/>
      <c r="BK48" s="281"/>
      <c r="BL48" s="281"/>
      <c r="BM48" s="281"/>
      <c r="BN48" s="281"/>
      <c r="BO48" s="281"/>
      <c r="BP48" s="281"/>
      <c r="BQ48" s="281"/>
      <c r="BR48" s="281"/>
      <c r="BS48" s="281"/>
      <c r="BT48" s="281"/>
      <c r="BU48" s="281"/>
      <c r="BV48" s="281"/>
      <c r="BW48" s="281"/>
      <c r="BX48" s="281"/>
      <c r="BY48" s="281"/>
      <c r="BZ48" s="281"/>
      <c r="CA48" s="281"/>
      <c r="CB48" s="281"/>
      <c r="CC48" s="281"/>
      <c r="CD48" s="281"/>
      <c r="CE48" s="281"/>
      <c r="CF48" s="281"/>
      <c r="CG48" s="281"/>
      <c r="CH48" s="281"/>
      <c r="CI48" s="281"/>
      <c r="CJ48" s="281"/>
      <c r="CK48" s="281"/>
      <c r="CL48" s="281"/>
      <c r="CM48" s="281"/>
      <c r="CN48" s="281"/>
      <c r="CO48" s="281"/>
      <c r="CP48" s="281"/>
      <c r="CQ48" s="281">
        <v>79471.122101065645</v>
      </c>
      <c r="CR48" s="281"/>
      <c r="CS48" s="281"/>
      <c r="CT48" s="281"/>
      <c r="CU48" s="281"/>
      <c r="CV48" s="281"/>
      <c r="CW48" s="281"/>
      <c r="CX48" s="281"/>
      <c r="CY48" s="281"/>
      <c r="CZ48" s="281"/>
      <c r="DA48" s="281"/>
      <c r="DB48" s="281"/>
      <c r="DC48" s="281"/>
      <c r="DD48" s="281"/>
      <c r="DE48" s="281"/>
      <c r="DF48" s="281"/>
      <c r="DG48" s="281"/>
      <c r="DH48" s="281"/>
      <c r="DI48" s="281"/>
      <c r="DJ48" s="281"/>
      <c r="DK48" s="281"/>
      <c r="DL48" s="281"/>
      <c r="DM48" s="281"/>
      <c r="DN48" s="281"/>
      <c r="DO48" s="281"/>
      <c r="DP48" s="281"/>
      <c r="DQ48" s="281"/>
      <c r="DR48" s="281"/>
      <c r="DS48" s="281"/>
      <c r="DT48" s="281"/>
      <c r="DU48" s="281"/>
      <c r="DV48" s="281"/>
      <c r="DW48" s="281"/>
      <c r="DX48" s="281"/>
      <c r="DY48" s="281"/>
      <c r="DZ48" s="281"/>
      <c r="EA48" s="281"/>
      <c r="EB48" s="281"/>
      <c r="EC48" s="281"/>
      <c r="ED48" s="281"/>
      <c r="EE48" s="281"/>
      <c r="EF48" s="281"/>
      <c r="EG48" s="281"/>
      <c r="EH48" s="281"/>
      <c r="EI48" s="281"/>
      <c r="EJ48" s="281"/>
      <c r="EK48" s="281"/>
      <c r="EL48" s="281">
        <v>79471.122101065645</v>
      </c>
    </row>
    <row r="49" spans="1:142" x14ac:dyDescent="0.25">
      <c r="A49" s="279" t="s">
        <v>1612</v>
      </c>
      <c r="B49" s="281"/>
      <c r="C49" s="281"/>
      <c r="D49" s="281"/>
      <c r="E49" s="281"/>
      <c r="F49" s="281"/>
      <c r="G49" s="281"/>
      <c r="H49" s="281"/>
      <c r="I49" s="281"/>
      <c r="J49" s="281"/>
      <c r="K49" s="281"/>
      <c r="L49" s="281"/>
      <c r="M49" s="281"/>
      <c r="N49" s="281"/>
      <c r="O49" s="281"/>
      <c r="P49" s="281"/>
      <c r="Q49" s="281"/>
      <c r="R49" s="281"/>
      <c r="S49" s="281"/>
      <c r="T49" s="281"/>
      <c r="U49" s="281"/>
      <c r="V49" s="281"/>
      <c r="W49" s="281"/>
      <c r="X49" s="281"/>
      <c r="Y49" s="281"/>
      <c r="Z49" s="281"/>
      <c r="AA49" s="281"/>
      <c r="AB49" s="281"/>
      <c r="AC49" s="281"/>
      <c r="AD49" s="281"/>
      <c r="AE49" s="281"/>
      <c r="AF49" s="281"/>
      <c r="AG49" s="281"/>
      <c r="AH49" s="281"/>
      <c r="AI49" s="281"/>
      <c r="AJ49" s="281"/>
      <c r="AK49" s="281"/>
      <c r="AL49" s="281"/>
      <c r="AM49" s="281"/>
      <c r="AN49" s="281"/>
      <c r="AO49" s="281"/>
      <c r="AP49" s="281"/>
      <c r="AQ49" s="281"/>
      <c r="AR49" s="281"/>
      <c r="AS49" s="281"/>
      <c r="AT49" s="281"/>
      <c r="AU49" s="281"/>
      <c r="AV49" s="281"/>
      <c r="AW49" s="281"/>
      <c r="AX49" s="281"/>
      <c r="AY49" s="281"/>
      <c r="AZ49" s="281"/>
      <c r="BA49" s="281"/>
      <c r="BB49" s="281"/>
      <c r="BC49" s="281"/>
      <c r="BD49" s="281"/>
      <c r="BE49" s="281"/>
      <c r="BF49" s="281"/>
      <c r="BG49" s="281"/>
      <c r="BH49" s="281"/>
      <c r="BI49" s="281"/>
      <c r="BJ49" s="281"/>
      <c r="BK49" s="281"/>
      <c r="BL49" s="281"/>
      <c r="BM49" s="281"/>
      <c r="BN49" s="281"/>
      <c r="BO49" s="281"/>
      <c r="BP49" s="281"/>
      <c r="BQ49" s="281"/>
      <c r="BR49" s="281"/>
      <c r="BS49" s="281"/>
      <c r="BT49" s="281"/>
      <c r="BU49" s="281"/>
      <c r="BV49" s="281"/>
      <c r="BW49" s="281"/>
      <c r="BX49" s="281"/>
      <c r="BY49" s="281"/>
      <c r="BZ49" s="281"/>
      <c r="CA49" s="281"/>
      <c r="CB49" s="281"/>
      <c r="CC49" s="281"/>
      <c r="CD49" s="281"/>
      <c r="CE49" s="281"/>
      <c r="CF49" s="281"/>
      <c r="CG49" s="281"/>
      <c r="CH49" s="281"/>
      <c r="CI49" s="281"/>
      <c r="CJ49" s="281"/>
      <c r="CK49" s="281"/>
      <c r="CL49" s="281"/>
      <c r="CM49" s="281"/>
      <c r="CN49" s="281"/>
      <c r="CO49" s="281"/>
      <c r="CP49" s="281"/>
      <c r="CQ49" s="281"/>
      <c r="CR49" s="281"/>
      <c r="CS49" s="281"/>
      <c r="CT49" s="281">
        <v>1.0075274460309636</v>
      </c>
      <c r="CU49" s="281">
        <v>2408.4688766015297</v>
      </c>
      <c r="CV49" s="281"/>
      <c r="CW49" s="281"/>
      <c r="CX49" s="281"/>
      <c r="CY49" s="281"/>
      <c r="CZ49" s="281"/>
      <c r="DA49" s="281"/>
      <c r="DB49" s="281"/>
      <c r="DC49" s="281"/>
      <c r="DD49" s="281"/>
      <c r="DE49" s="281"/>
      <c r="DF49" s="281"/>
      <c r="DG49" s="281"/>
      <c r="DH49" s="281"/>
      <c r="DI49" s="281"/>
      <c r="DJ49" s="281"/>
      <c r="DK49" s="281"/>
      <c r="DL49" s="281"/>
      <c r="DM49" s="281"/>
      <c r="DN49" s="281"/>
      <c r="DO49" s="281"/>
      <c r="DP49" s="281"/>
      <c r="DQ49" s="281"/>
      <c r="DR49" s="281"/>
      <c r="DS49" s="281"/>
      <c r="DT49" s="281"/>
      <c r="DU49" s="281"/>
      <c r="DV49" s="281"/>
      <c r="DW49" s="281"/>
      <c r="DX49" s="281"/>
      <c r="DY49" s="281"/>
      <c r="DZ49" s="281"/>
      <c r="EA49" s="281"/>
      <c r="EB49" s="281"/>
      <c r="EC49" s="281"/>
      <c r="ED49" s="281"/>
      <c r="EE49" s="281"/>
      <c r="EF49" s="281"/>
      <c r="EG49" s="281"/>
      <c r="EH49" s="281"/>
      <c r="EI49" s="281"/>
      <c r="EJ49" s="281"/>
      <c r="EK49" s="281"/>
      <c r="EL49" s="281">
        <v>2409.4764040475607</v>
      </c>
    </row>
    <row r="50" spans="1:142" x14ac:dyDescent="0.25">
      <c r="A50" s="279" t="s">
        <v>1611</v>
      </c>
      <c r="B50" s="281"/>
      <c r="C50" s="281"/>
      <c r="D50" s="281"/>
      <c r="E50" s="281"/>
      <c r="F50" s="281"/>
      <c r="G50" s="281"/>
      <c r="H50" s="281"/>
      <c r="I50" s="281"/>
      <c r="J50" s="281"/>
      <c r="K50" s="281"/>
      <c r="L50" s="281"/>
      <c r="M50" s="281"/>
      <c r="N50" s="281"/>
      <c r="O50" s="281"/>
      <c r="P50" s="281"/>
      <c r="Q50" s="281"/>
      <c r="R50" s="281"/>
      <c r="S50" s="281"/>
      <c r="T50" s="281"/>
      <c r="U50" s="281"/>
      <c r="V50" s="281"/>
      <c r="W50" s="281"/>
      <c r="X50" s="281"/>
      <c r="Y50" s="281"/>
      <c r="Z50" s="281"/>
      <c r="AA50" s="281"/>
      <c r="AB50" s="281"/>
      <c r="AC50" s="281"/>
      <c r="AD50" s="281"/>
      <c r="AE50" s="281"/>
      <c r="AF50" s="281"/>
      <c r="AG50" s="281"/>
      <c r="AH50" s="281"/>
      <c r="AI50" s="281"/>
      <c r="AJ50" s="281"/>
      <c r="AK50" s="281"/>
      <c r="AL50" s="281"/>
      <c r="AM50" s="281"/>
      <c r="AN50" s="281"/>
      <c r="AO50" s="281"/>
      <c r="AP50" s="281"/>
      <c r="AQ50" s="281"/>
      <c r="AR50" s="281"/>
      <c r="AS50" s="281"/>
      <c r="AT50" s="281"/>
      <c r="AU50" s="281"/>
      <c r="AV50" s="281"/>
      <c r="AW50" s="281"/>
      <c r="AX50" s="281"/>
      <c r="AY50" s="281"/>
      <c r="AZ50" s="281"/>
      <c r="BA50" s="281"/>
      <c r="BB50" s="281"/>
      <c r="BC50" s="281"/>
      <c r="BD50" s="281"/>
      <c r="BE50" s="281"/>
      <c r="BF50" s="281"/>
      <c r="BG50" s="281"/>
      <c r="BH50" s="281"/>
      <c r="BI50" s="281"/>
      <c r="BJ50" s="281"/>
      <c r="BK50" s="281"/>
      <c r="BL50" s="281"/>
      <c r="BM50" s="281"/>
      <c r="BN50" s="281"/>
      <c r="BO50" s="281"/>
      <c r="BP50" s="281"/>
      <c r="BQ50" s="281"/>
      <c r="BR50" s="281"/>
      <c r="BS50" s="281"/>
      <c r="BT50" s="281"/>
      <c r="BU50" s="281"/>
      <c r="BV50" s="281"/>
      <c r="BW50" s="281"/>
      <c r="BX50" s="281"/>
      <c r="BY50" s="281"/>
      <c r="BZ50" s="281"/>
      <c r="CA50" s="281"/>
      <c r="CB50" s="281"/>
      <c r="CC50" s="281"/>
      <c r="CD50" s="281"/>
      <c r="CE50" s="281"/>
      <c r="CF50" s="281"/>
      <c r="CG50" s="281"/>
      <c r="CH50" s="281"/>
      <c r="CI50" s="281"/>
      <c r="CJ50" s="281"/>
      <c r="CK50" s="281"/>
      <c r="CL50" s="281"/>
      <c r="CM50" s="281"/>
      <c r="CN50" s="281"/>
      <c r="CO50" s="281"/>
      <c r="CP50" s="281"/>
      <c r="CQ50" s="281"/>
      <c r="CR50" s="281"/>
      <c r="CS50" s="281"/>
      <c r="CT50" s="281">
        <v>26558.825294834318</v>
      </c>
      <c r="CU50" s="281">
        <v>6352.6184003720873</v>
      </c>
      <c r="CV50" s="281"/>
      <c r="CW50" s="281"/>
      <c r="CX50" s="281"/>
      <c r="CY50" s="281"/>
      <c r="CZ50" s="281"/>
      <c r="DA50" s="281"/>
      <c r="DB50" s="281"/>
      <c r="DC50" s="281"/>
      <c r="DD50" s="281"/>
      <c r="DE50" s="281"/>
      <c r="DF50" s="281"/>
      <c r="DG50" s="281"/>
      <c r="DH50" s="281"/>
      <c r="DI50" s="281"/>
      <c r="DJ50" s="281"/>
      <c r="DK50" s="281"/>
      <c r="DL50" s="281"/>
      <c r="DM50" s="281"/>
      <c r="DN50" s="281"/>
      <c r="DO50" s="281"/>
      <c r="DP50" s="281"/>
      <c r="DQ50" s="281"/>
      <c r="DR50" s="281"/>
      <c r="DS50" s="281"/>
      <c r="DT50" s="281"/>
      <c r="DU50" s="281"/>
      <c r="DV50" s="281"/>
      <c r="DW50" s="281"/>
      <c r="DX50" s="281"/>
      <c r="DY50" s="281"/>
      <c r="DZ50" s="281"/>
      <c r="EA50" s="281"/>
      <c r="EB50" s="281"/>
      <c r="EC50" s="281"/>
      <c r="ED50" s="281"/>
      <c r="EE50" s="281"/>
      <c r="EF50" s="281"/>
      <c r="EG50" s="281"/>
      <c r="EH50" s="281"/>
      <c r="EI50" s="281"/>
      <c r="EJ50" s="281"/>
      <c r="EK50" s="281"/>
      <c r="EL50" s="281">
        <v>32911.443695206406</v>
      </c>
    </row>
    <row r="51" spans="1:142" x14ac:dyDescent="0.25">
      <c r="A51" s="279" t="s">
        <v>1610</v>
      </c>
      <c r="B51" s="281"/>
      <c r="C51" s="281"/>
      <c r="D51" s="281"/>
      <c r="E51" s="281"/>
      <c r="F51" s="281"/>
      <c r="G51" s="281"/>
      <c r="H51" s="281"/>
      <c r="I51" s="281"/>
      <c r="J51" s="281"/>
      <c r="K51" s="281"/>
      <c r="L51" s="281"/>
      <c r="M51" s="281"/>
      <c r="N51" s="281"/>
      <c r="O51" s="281"/>
      <c r="P51" s="281"/>
      <c r="Q51" s="281"/>
      <c r="R51" s="281"/>
      <c r="S51" s="281"/>
      <c r="T51" s="281"/>
      <c r="U51" s="281"/>
      <c r="V51" s="281"/>
      <c r="W51" s="281"/>
      <c r="X51" s="281"/>
      <c r="Y51" s="281"/>
      <c r="Z51" s="281"/>
      <c r="AA51" s="281"/>
      <c r="AB51" s="281"/>
      <c r="AC51" s="281"/>
      <c r="AD51" s="281"/>
      <c r="AE51" s="281"/>
      <c r="AF51" s="281"/>
      <c r="AG51" s="281"/>
      <c r="AH51" s="281"/>
      <c r="AI51" s="281"/>
      <c r="AJ51" s="281"/>
      <c r="AK51" s="281"/>
      <c r="AL51" s="281"/>
      <c r="AM51" s="281"/>
      <c r="AN51" s="281"/>
      <c r="AO51" s="281"/>
      <c r="AP51" s="281"/>
      <c r="AQ51" s="281"/>
      <c r="AR51" s="281"/>
      <c r="AS51" s="281"/>
      <c r="AT51" s="281"/>
      <c r="AU51" s="281"/>
      <c r="AV51" s="281"/>
      <c r="AW51" s="281"/>
      <c r="AX51" s="281"/>
      <c r="AY51" s="281"/>
      <c r="AZ51" s="281"/>
      <c r="BA51" s="281"/>
      <c r="BB51" s="281"/>
      <c r="BC51" s="281"/>
      <c r="BD51" s="281"/>
      <c r="BE51" s="281"/>
      <c r="BF51" s="281"/>
      <c r="BG51" s="281"/>
      <c r="BH51" s="281"/>
      <c r="BI51" s="281"/>
      <c r="BJ51" s="281"/>
      <c r="BK51" s="281"/>
      <c r="BL51" s="281"/>
      <c r="BM51" s="281"/>
      <c r="BN51" s="281"/>
      <c r="BO51" s="281"/>
      <c r="BP51" s="281"/>
      <c r="BQ51" s="281"/>
      <c r="BR51" s="281"/>
      <c r="BS51" s="281"/>
      <c r="BT51" s="281"/>
      <c r="BU51" s="281"/>
      <c r="BV51" s="281"/>
      <c r="BW51" s="281"/>
      <c r="BX51" s="281"/>
      <c r="BY51" s="281"/>
      <c r="BZ51" s="281"/>
      <c r="CA51" s="281"/>
      <c r="CB51" s="281"/>
      <c r="CC51" s="281"/>
      <c r="CD51" s="281"/>
      <c r="CE51" s="281"/>
      <c r="CF51" s="281"/>
      <c r="CG51" s="281"/>
      <c r="CH51" s="281"/>
      <c r="CI51" s="281"/>
      <c r="CJ51" s="281"/>
      <c r="CK51" s="281"/>
      <c r="CL51" s="281"/>
      <c r="CM51" s="281"/>
      <c r="CN51" s="281"/>
      <c r="CO51" s="281"/>
      <c r="CP51" s="281"/>
      <c r="CQ51" s="281"/>
      <c r="CR51" s="281"/>
      <c r="CS51" s="281"/>
      <c r="CT51" s="281"/>
      <c r="CU51" s="281"/>
      <c r="CV51" s="281">
        <v>59348.008843493073</v>
      </c>
      <c r="CW51" s="281"/>
      <c r="CX51" s="281"/>
      <c r="CY51" s="281"/>
      <c r="CZ51" s="281"/>
      <c r="DA51" s="281"/>
      <c r="DB51" s="281"/>
      <c r="DC51" s="281"/>
      <c r="DD51" s="281"/>
      <c r="DE51" s="281"/>
      <c r="DF51" s="281"/>
      <c r="DG51" s="281"/>
      <c r="DH51" s="281"/>
      <c r="DI51" s="281"/>
      <c r="DJ51" s="281"/>
      <c r="DK51" s="281"/>
      <c r="DL51" s="281"/>
      <c r="DM51" s="281"/>
      <c r="DN51" s="281"/>
      <c r="DO51" s="281"/>
      <c r="DP51" s="281"/>
      <c r="DQ51" s="281"/>
      <c r="DR51" s="281"/>
      <c r="DS51" s="281"/>
      <c r="DT51" s="281"/>
      <c r="DU51" s="281"/>
      <c r="DV51" s="281"/>
      <c r="DW51" s="281"/>
      <c r="DX51" s="281"/>
      <c r="DY51" s="281"/>
      <c r="DZ51" s="281"/>
      <c r="EA51" s="281"/>
      <c r="EB51" s="281"/>
      <c r="EC51" s="281"/>
      <c r="ED51" s="281"/>
      <c r="EE51" s="281"/>
      <c r="EF51" s="281"/>
      <c r="EG51" s="281"/>
      <c r="EH51" s="281"/>
      <c r="EI51" s="281"/>
      <c r="EJ51" s="281"/>
      <c r="EK51" s="281"/>
      <c r="EL51" s="281">
        <v>59348.008843493073</v>
      </c>
    </row>
    <row r="52" spans="1:142" x14ac:dyDescent="0.25">
      <c r="A52" s="279" t="s">
        <v>1609</v>
      </c>
      <c r="B52" s="281"/>
      <c r="C52" s="281"/>
      <c r="D52" s="281"/>
      <c r="E52" s="281"/>
      <c r="F52" s="281"/>
      <c r="G52" s="281"/>
      <c r="H52" s="281"/>
      <c r="I52" s="281"/>
      <c r="J52" s="281"/>
      <c r="K52" s="281"/>
      <c r="L52" s="281"/>
      <c r="M52" s="281"/>
      <c r="N52" s="281"/>
      <c r="O52" s="281"/>
      <c r="P52" s="281"/>
      <c r="Q52" s="281"/>
      <c r="R52" s="281"/>
      <c r="S52" s="281"/>
      <c r="T52" s="281"/>
      <c r="U52" s="281"/>
      <c r="V52" s="281"/>
      <c r="W52" s="281"/>
      <c r="X52" s="281"/>
      <c r="Y52" s="281"/>
      <c r="Z52" s="281"/>
      <c r="AA52" s="281"/>
      <c r="AB52" s="281"/>
      <c r="AC52" s="281"/>
      <c r="AD52" s="281"/>
      <c r="AE52" s="281"/>
      <c r="AF52" s="281"/>
      <c r="AG52" s="281"/>
      <c r="AH52" s="281"/>
      <c r="AI52" s="281"/>
      <c r="AJ52" s="281"/>
      <c r="AK52" s="281"/>
      <c r="AL52" s="281"/>
      <c r="AM52" s="281"/>
      <c r="AN52" s="281"/>
      <c r="AO52" s="281"/>
      <c r="AP52" s="281"/>
      <c r="AQ52" s="281"/>
      <c r="AR52" s="281"/>
      <c r="AS52" s="281"/>
      <c r="AT52" s="281"/>
      <c r="AU52" s="281"/>
      <c r="AV52" s="281"/>
      <c r="AW52" s="281"/>
      <c r="AX52" s="281"/>
      <c r="AY52" s="281"/>
      <c r="AZ52" s="281"/>
      <c r="BA52" s="281"/>
      <c r="BB52" s="281"/>
      <c r="BC52" s="281"/>
      <c r="BD52" s="281"/>
      <c r="BE52" s="281"/>
      <c r="BF52" s="281"/>
      <c r="BG52" s="281"/>
      <c r="BH52" s="281"/>
      <c r="BI52" s="281"/>
      <c r="BJ52" s="281"/>
      <c r="BK52" s="281"/>
      <c r="BL52" s="281"/>
      <c r="BM52" s="281"/>
      <c r="BN52" s="281"/>
      <c r="BO52" s="281"/>
      <c r="BP52" s="281"/>
      <c r="BQ52" s="281"/>
      <c r="BR52" s="281"/>
      <c r="BS52" s="281"/>
      <c r="BT52" s="281"/>
      <c r="BU52" s="281"/>
      <c r="BV52" s="281"/>
      <c r="BW52" s="281"/>
      <c r="BX52" s="281"/>
      <c r="BY52" s="281"/>
      <c r="BZ52" s="281"/>
      <c r="CA52" s="281"/>
      <c r="CB52" s="281"/>
      <c r="CC52" s="281"/>
      <c r="CD52" s="281"/>
      <c r="CE52" s="281"/>
      <c r="CF52" s="281"/>
      <c r="CG52" s="281"/>
      <c r="CH52" s="281"/>
      <c r="CI52" s="281"/>
      <c r="CJ52" s="281"/>
      <c r="CK52" s="281"/>
      <c r="CL52" s="281"/>
      <c r="CM52" s="281"/>
      <c r="CN52" s="281"/>
      <c r="CO52" s="281"/>
      <c r="CP52" s="281"/>
      <c r="CQ52" s="281"/>
      <c r="CR52" s="281">
        <v>124177.47504970986</v>
      </c>
      <c r="CS52" s="281"/>
      <c r="CT52" s="281"/>
      <c r="CU52" s="281"/>
      <c r="CV52" s="281"/>
      <c r="CW52" s="281"/>
      <c r="CX52" s="281"/>
      <c r="CY52" s="281"/>
      <c r="CZ52" s="281"/>
      <c r="DA52" s="281"/>
      <c r="DB52" s="281"/>
      <c r="DC52" s="281"/>
      <c r="DD52" s="281"/>
      <c r="DE52" s="281"/>
      <c r="DF52" s="281"/>
      <c r="DG52" s="281"/>
      <c r="DH52" s="281"/>
      <c r="DI52" s="281"/>
      <c r="DJ52" s="281"/>
      <c r="DK52" s="281"/>
      <c r="DL52" s="281"/>
      <c r="DM52" s="281"/>
      <c r="DN52" s="281"/>
      <c r="DO52" s="281"/>
      <c r="DP52" s="281"/>
      <c r="DQ52" s="281"/>
      <c r="DR52" s="281"/>
      <c r="DS52" s="281"/>
      <c r="DT52" s="281"/>
      <c r="DU52" s="281"/>
      <c r="DV52" s="281"/>
      <c r="DW52" s="281"/>
      <c r="DX52" s="281"/>
      <c r="DY52" s="281"/>
      <c r="DZ52" s="281"/>
      <c r="EA52" s="281"/>
      <c r="EB52" s="281"/>
      <c r="EC52" s="281"/>
      <c r="ED52" s="281"/>
      <c r="EE52" s="281"/>
      <c r="EF52" s="281"/>
      <c r="EG52" s="281"/>
      <c r="EH52" s="281"/>
      <c r="EI52" s="281"/>
      <c r="EJ52" s="281"/>
      <c r="EK52" s="281"/>
      <c r="EL52" s="281">
        <v>124177.47504970986</v>
      </c>
    </row>
    <row r="53" spans="1:142" x14ac:dyDescent="0.25">
      <c r="A53" s="279" t="s">
        <v>1608</v>
      </c>
      <c r="B53" s="281"/>
      <c r="C53" s="281"/>
      <c r="D53" s="281"/>
      <c r="E53" s="281"/>
      <c r="F53" s="281"/>
      <c r="G53" s="281"/>
      <c r="H53" s="281"/>
      <c r="I53" s="281"/>
      <c r="J53" s="281"/>
      <c r="K53" s="281"/>
      <c r="L53" s="281"/>
      <c r="M53" s="281"/>
      <c r="N53" s="281"/>
      <c r="O53" s="281"/>
      <c r="P53" s="281"/>
      <c r="Q53" s="281"/>
      <c r="R53" s="281"/>
      <c r="S53" s="281"/>
      <c r="T53" s="281"/>
      <c r="U53" s="281"/>
      <c r="V53" s="281"/>
      <c r="W53" s="281"/>
      <c r="X53" s="281"/>
      <c r="Y53" s="281"/>
      <c r="Z53" s="281"/>
      <c r="AA53" s="281"/>
      <c r="AB53" s="281"/>
      <c r="AC53" s="281"/>
      <c r="AD53" s="281"/>
      <c r="AE53" s="281"/>
      <c r="AF53" s="281"/>
      <c r="AG53" s="281"/>
      <c r="AH53" s="281"/>
      <c r="AI53" s="281"/>
      <c r="AJ53" s="281"/>
      <c r="AK53" s="281"/>
      <c r="AL53" s="281"/>
      <c r="AM53" s="281"/>
      <c r="AN53" s="281"/>
      <c r="AO53" s="281"/>
      <c r="AP53" s="281"/>
      <c r="AQ53" s="281"/>
      <c r="AR53" s="281"/>
      <c r="AS53" s="281"/>
      <c r="AT53" s="281"/>
      <c r="AU53" s="281"/>
      <c r="AV53" s="281"/>
      <c r="AW53" s="281"/>
      <c r="AX53" s="281"/>
      <c r="AY53" s="281"/>
      <c r="AZ53" s="281"/>
      <c r="BA53" s="281"/>
      <c r="BB53" s="281"/>
      <c r="BC53" s="281"/>
      <c r="BD53" s="281"/>
      <c r="BE53" s="281"/>
      <c r="BF53" s="281"/>
      <c r="BG53" s="281"/>
      <c r="BH53" s="281"/>
      <c r="BI53" s="281"/>
      <c r="BJ53" s="281"/>
      <c r="BK53" s="281"/>
      <c r="BL53" s="281"/>
      <c r="BM53" s="281"/>
      <c r="BN53" s="281"/>
      <c r="BO53" s="281"/>
      <c r="BP53" s="281"/>
      <c r="BQ53" s="281"/>
      <c r="BR53" s="281"/>
      <c r="BS53" s="281"/>
      <c r="BT53" s="281"/>
      <c r="BU53" s="281"/>
      <c r="BV53" s="281"/>
      <c r="BW53" s="281"/>
      <c r="BX53" s="281"/>
      <c r="BY53" s="281"/>
      <c r="BZ53" s="281"/>
      <c r="CA53" s="281"/>
      <c r="CB53" s="281"/>
      <c r="CC53" s="281"/>
      <c r="CD53" s="281"/>
      <c r="CE53" s="281"/>
      <c r="CF53" s="281"/>
      <c r="CG53" s="281"/>
      <c r="CH53" s="281"/>
      <c r="CI53" s="281"/>
      <c r="CJ53" s="281"/>
      <c r="CK53" s="281"/>
      <c r="CL53" s="281"/>
      <c r="CM53" s="281"/>
      <c r="CN53" s="281"/>
      <c r="CO53" s="281"/>
      <c r="CP53" s="281"/>
      <c r="CQ53" s="281"/>
      <c r="CR53" s="281"/>
      <c r="CS53" s="281">
        <v>388513.53358557384</v>
      </c>
      <c r="CT53" s="281"/>
      <c r="CU53" s="281"/>
      <c r="CV53" s="281"/>
      <c r="CW53" s="281"/>
      <c r="CX53" s="281"/>
      <c r="CY53" s="281"/>
      <c r="CZ53" s="281"/>
      <c r="DA53" s="281"/>
      <c r="DB53" s="281"/>
      <c r="DC53" s="281"/>
      <c r="DD53" s="281"/>
      <c r="DE53" s="281"/>
      <c r="DF53" s="281"/>
      <c r="DG53" s="281"/>
      <c r="DH53" s="281"/>
      <c r="DI53" s="281"/>
      <c r="DJ53" s="281"/>
      <c r="DK53" s="281"/>
      <c r="DL53" s="281"/>
      <c r="DM53" s="281"/>
      <c r="DN53" s="281"/>
      <c r="DO53" s="281"/>
      <c r="DP53" s="281"/>
      <c r="DQ53" s="281"/>
      <c r="DR53" s="281"/>
      <c r="DS53" s="281"/>
      <c r="DT53" s="281"/>
      <c r="DU53" s="281"/>
      <c r="DV53" s="281"/>
      <c r="DW53" s="281"/>
      <c r="DX53" s="281"/>
      <c r="DY53" s="281"/>
      <c r="DZ53" s="281"/>
      <c r="EA53" s="281"/>
      <c r="EB53" s="281"/>
      <c r="EC53" s="281"/>
      <c r="ED53" s="281"/>
      <c r="EE53" s="281"/>
      <c r="EF53" s="281"/>
      <c r="EG53" s="281"/>
      <c r="EH53" s="281"/>
      <c r="EI53" s="281"/>
      <c r="EJ53" s="281"/>
      <c r="EK53" s="281"/>
      <c r="EL53" s="281">
        <v>388513.53358557384</v>
      </c>
    </row>
    <row r="54" spans="1:142" x14ac:dyDescent="0.25">
      <c r="A54" s="279" t="s">
        <v>1607</v>
      </c>
      <c r="B54" s="281"/>
      <c r="C54" s="281"/>
      <c r="D54" s="281"/>
      <c r="E54" s="281"/>
      <c r="F54" s="281"/>
      <c r="G54" s="281"/>
      <c r="H54" s="281"/>
      <c r="I54" s="281"/>
      <c r="J54" s="281"/>
      <c r="K54" s="281"/>
      <c r="L54" s="281"/>
      <c r="M54" s="281"/>
      <c r="N54" s="281"/>
      <c r="O54" s="281"/>
      <c r="P54" s="281"/>
      <c r="Q54" s="281"/>
      <c r="R54" s="281"/>
      <c r="S54" s="281"/>
      <c r="T54" s="281"/>
      <c r="U54" s="281"/>
      <c r="V54" s="281"/>
      <c r="W54" s="281"/>
      <c r="X54" s="281"/>
      <c r="Y54" s="281"/>
      <c r="Z54" s="281"/>
      <c r="AA54" s="281"/>
      <c r="AB54" s="281"/>
      <c r="AC54" s="281"/>
      <c r="AD54" s="281"/>
      <c r="AE54" s="281"/>
      <c r="AF54" s="281"/>
      <c r="AG54" s="281"/>
      <c r="AH54" s="281"/>
      <c r="AI54" s="281"/>
      <c r="AJ54" s="281"/>
      <c r="AK54" s="281"/>
      <c r="AL54" s="281"/>
      <c r="AM54" s="281"/>
      <c r="AN54" s="281"/>
      <c r="AO54" s="281"/>
      <c r="AP54" s="281"/>
      <c r="AQ54" s="281"/>
      <c r="AR54" s="281"/>
      <c r="AS54" s="281"/>
      <c r="AT54" s="281"/>
      <c r="AU54" s="281"/>
      <c r="AV54" s="281"/>
      <c r="AW54" s="281"/>
      <c r="AX54" s="281"/>
      <c r="AY54" s="281"/>
      <c r="AZ54" s="281"/>
      <c r="BA54" s="281"/>
      <c r="BB54" s="281"/>
      <c r="BC54" s="281"/>
      <c r="BD54" s="281"/>
      <c r="BE54" s="281"/>
      <c r="BF54" s="281"/>
      <c r="BG54" s="281"/>
      <c r="BH54" s="281"/>
      <c r="BI54" s="281"/>
      <c r="BJ54" s="281"/>
      <c r="BK54" s="281"/>
      <c r="BL54" s="281"/>
      <c r="BM54" s="281"/>
      <c r="BN54" s="281"/>
      <c r="BO54" s="281"/>
      <c r="BP54" s="281"/>
      <c r="BQ54" s="281"/>
      <c r="BR54" s="281"/>
      <c r="BS54" s="281"/>
      <c r="BT54" s="281"/>
      <c r="BU54" s="281"/>
      <c r="BV54" s="281"/>
      <c r="BW54" s="281"/>
      <c r="BX54" s="281"/>
      <c r="BY54" s="281"/>
      <c r="BZ54" s="281"/>
      <c r="CA54" s="281"/>
      <c r="CB54" s="281"/>
      <c r="CC54" s="281"/>
      <c r="CD54" s="281"/>
      <c r="CE54" s="281"/>
      <c r="CF54" s="281"/>
      <c r="CG54" s="281"/>
      <c r="CH54" s="281"/>
      <c r="CI54" s="281"/>
      <c r="CJ54" s="281"/>
      <c r="CK54" s="281"/>
      <c r="CL54" s="281"/>
      <c r="CM54" s="281"/>
      <c r="CN54" s="281"/>
      <c r="CO54" s="281"/>
      <c r="CP54" s="281"/>
      <c r="CQ54" s="281"/>
      <c r="CR54" s="281"/>
      <c r="CS54" s="281"/>
      <c r="CT54" s="281"/>
      <c r="CU54" s="281"/>
      <c r="CV54" s="281"/>
      <c r="CW54" s="281">
        <v>173682.68206397866</v>
      </c>
      <c r="CX54" s="281"/>
      <c r="CY54" s="281"/>
      <c r="CZ54" s="281"/>
      <c r="DA54" s="281"/>
      <c r="DB54" s="281"/>
      <c r="DC54" s="281"/>
      <c r="DD54" s="281"/>
      <c r="DE54" s="281"/>
      <c r="DF54" s="281"/>
      <c r="DG54" s="281"/>
      <c r="DH54" s="281"/>
      <c r="DI54" s="281"/>
      <c r="DJ54" s="281"/>
      <c r="DK54" s="281"/>
      <c r="DL54" s="281"/>
      <c r="DM54" s="281"/>
      <c r="DN54" s="281"/>
      <c r="DO54" s="281"/>
      <c r="DP54" s="281"/>
      <c r="DQ54" s="281"/>
      <c r="DR54" s="281"/>
      <c r="DS54" s="281"/>
      <c r="DT54" s="281"/>
      <c r="DU54" s="281"/>
      <c r="DV54" s="281"/>
      <c r="DW54" s="281"/>
      <c r="DX54" s="281"/>
      <c r="DY54" s="281"/>
      <c r="DZ54" s="281"/>
      <c r="EA54" s="281"/>
      <c r="EB54" s="281"/>
      <c r="EC54" s="281"/>
      <c r="ED54" s="281"/>
      <c r="EE54" s="281"/>
      <c r="EF54" s="281"/>
      <c r="EG54" s="281"/>
      <c r="EH54" s="281"/>
      <c r="EI54" s="281"/>
      <c r="EJ54" s="281"/>
      <c r="EK54" s="281"/>
      <c r="EL54" s="281">
        <v>173682.68206397866</v>
      </c>
    </row>
    <row r="55" spans="1:142" x14ac:dyDescent="0.25">
      <c r="A55" s="279" t="s">
        <v>1606</v>
      </c>
      <c r="B55" s="281"/>
      <c r="C55" s="281"/>
      <c r="D55" s="281"/>
      <c r="E55" s="281"/>
      <c r="F55" s="281"/>
      <c r="G55" s="281"/>
      <c r="H55" s="281"/>
      <c r="I55" s="281"/>
      <c r="J55" s="281"/>
      <c r="K55" s="281"/>
      <c r="L55" s="281"/>
      <c r="M55" s="281"/>
      <c r="N55" s="281"/>
      <c r="O55" s="281"/>
      <c r="P55" s="281"/>
      <c r="Q55" s="281"/>
      <c r="R55" s="281"/>
      <c r="S55" s="281"/>
      <c r="T55" s="281"/>
      <c r="U55" s="281"/>
      <c r="V55" s="281"/>
      <c r="W55" s="281"/>
      <c r="X55" s="281"/>
      <c r="Y55" s="281"/>
      <c r="Z55" s="281"/>
      <c r="AA55" s="281"/>
      <c r="AB55" s="281"/>
      <c r="AC55" s="281"/>
      <c r="AD55" s="281"/>
      <c r="AE55" s="281"/>
      <c r="AF55" s="281"/>
      <c r="AG55" s="281"/>
      <c r="AH55" s="281"/>
      <c r="AI55" s="281"/>
      <c r="AJ55" s="281"/>
      <c r="AK55" s="281"/>
      <c r="AL55" s="281"/>
      <c r="AM55" s="281"/>
      <c r="AN55" s="281"/>
      <c r="AO55" s="281"/>
      <c r="AP55" s="281"/>
      <c r="AQ55" s="281"/>
      <c r="AR55" s="281"/>
      <c r="AS55" s="281"/>
      <c r="AT55" s="281"/>
      <c r="AU55" s="281"/>
      <c r="AV55" s="281"/>
      <c r="AW55" s="281"/>
      <c r="AX55" s="281"/>
      <c r="AY55" s="281"/>
      <c r="AZ55" s="281"/>
      <c r="BA55" s="281"/>
      <c r="BB55" s="281"/>
      <c r="BC55" s="281"/>
      <c r="BD55" s="281"/>
      <c r="BE55" s="281"/>
      <c r="BF55" s="281"/>
      <c r="BG55" s="281"/>
      <c r="BH55" s="281"/>
      <c r="BI55" s="281"/>
      <c r="BJ55" s="281"/>
      <c r="BK55" s="281"/>
      <c r="BL55" s="281"/>
      <c r="BM55" s="281"/>
      <c r="BN55" s="281"/>
      <c r="BO55" s="281"/>
      <c r="BP55" s="281"/>
      <c r="BQ55" s="281"/>
      <c r="BR55" s="281"/>
      <c r="BS55" s="281"/>
      <c r="BT55" s="281"/>
      <c r="BU55" s="281"/>
      <c r="BV55" s="281"/>
      <c r="BW55" s="281"/>
      <c r="BX55" s="281"/>
      <c r="BY55" s="281"/>
      <c r="BZ55" s="281"/>
      <c r="CA55" s="281"/>
      <c r="CB55" s="281"/>
      <c r="CC55" s="281"/>
      <c r="CD55" s="281"/>
      <c r="CE55" s="281"/>
      <c r="CF55" s="281"/>
      <c r="CG55" s="281"/>
      <c r="CH55" s="281"/>
      <c r="CI55" s="281"/>
      <c r="CJ55" s="281"/>
      <c r="CK55" s="281"/>
      <c r="CL55" s="281"/>
      <c r="CM55" s="281"/>
      <c r="CN55" s="281"/>
      <c r="CO55" s="281"/>
      <c r="CP55" s="281"/>
      <c r="CQ55" s="281"/>
      <c r="CR55" s="281"/>
      <c r="CS55" s="281"/>
      <c r="CT55" s="281"/>
      <c r="CU55" s="281"/>
      <c r="CV55" s="281"/>
      <c r="CW55" s="281"/>
      <c r="CX55" s="281">
        <v>542473.29019276693</v>
      </c>
      <c r="CY55" s="281"/>
      <c r="CZ55" s="281"/>
      <c r="DA55" s="281"/>
      <c r="DB55" s="281"/>
      <c r="DC55" s="281"/>
      <c r="DD55" s="281"/>
      <c r="DE55" s="281"/>
      <c r="DF55" s="281"/>
      <c r="DG55" s="281"/>
      <c r="DH55" s="281"/>
      <c r="DI55" s="281"/>
      <c r="DJ55" s="281"/>
      <c r="DK55" s="281"/>
      <c r="DL55" s="281"/>
      <c r="DM55" s="281"/>
      <c r="DN55" s="281"/>
      <c r="DO55" s="281"/>
      <c r="DP55" s="281"/>
      <c r="DQ55" s="281"/>
      <c r="DR55" s="281"/>
      <c r="DS55" s="281"/>
      <c r="DT55" s="281"/>
      <c r="DU55" s="281"/>
      <c r="DV55" s="281"/>
      <c r="DW55" s="281"/>
      <c r="DX55" s="281"/>
      <c r="DY55" s="281"/>
      <c r="DZ55" s="281"/>
      <c r="EA55" s="281"/>
      <c r="EB55" s="281"/>
      <c r="EC55" s="281"/>
      <c r="ED55" s="281"/>
      <c r="EE55" s="281"/>
      <c r="EF55" s="281"/>
      <c r="EG55" s="281"/>
      <c r="EH55" s="281"/>
      <c r="EI55" s="281"/>
      <c r="EJ55" s="281"/>
      <c r="EK55" s="281"/>
      <c r="EL55" s="281">
        <v>542473.29019276693</v>
      </c>
    </row>
    <row r="56" spans="1:142" x14ac:dyDescent="0.25">
      <c r="A56" s="279" t="s">
        <v>1605</v>
      </c>
      <c r="B56" s="281"/>
      <c r="C56" s="281"/>
      <c r="D56" s="281"/>
      <c r="E56" s="281"/>
      <c r="F56" s="281"/>
      <c r="G56" s="281"/>
      <c r="H56" s="281"/>
      <c r="I56" s="281"/>
      <c r="J56" s="281"/>
      <c r="K56" s="281"/>
      <c r="L56" s="281"/>
      <c r="M56" s="281"/>
      <c r="N56" s="281"/>
      <c r="O56" s="281"/>
      <c r="P56" s="281"/>
      <c r="Q56" s="281"/>
      <c r="R56" s="281"/>
      <c r="S56" s="281"/>
      <c r="T56" s="281"/>
      <c r="U56" s="281"/>
      <c r="V56" s="281"/>
      <c r="W56" s="281"/>
      <c r="X56" s="281"/>
      <c r="Y56" s="281"/>
      <c r="Z56" s="281"/>
      <c r="AA56" s="281"/>
      <c r="AB56" s="281"/>
      <c r="AC56" s="281"/>
      <c r="AD56" s="281"/>
      <c r="AE56" s="281"/>
      <c r="AF56" s="281"/>
      <c r="AG56" s="281"/>
      <c r="AH56" s="281"/>
      <c r="AI56" s="281"/>
      <c r="AJ56" s="281"/>
      <c r="AK56" s="281"/>
      <c r="AL56" s="281"/>
      <c r="AM56" s="281"/>
      <c r="AN56" s="281"/>
      <c r="AO56" s="281"/>
      <c r="AP56" s="281"/>
      <c r="AQ56" s="281"/>
      <c r="AR56" s="281"/>
      <c r="AS56" s="281"/>
      <c r="AT56" s="281"/>
      <c r="AU56" s="281"/>
      <c r="AV56" s="281"/>
      <c r="AW56" s="281"/>
      <c r="AX56" s="281"/>
      <c r="AY56" s="281"/>
      <c r="AZ56" s="281"/>
      <c r="BA56" s="281"/>
      <c r="BB56" s="281"/>
      <c r="BC56" s="281"/>
      <c r="BD56" s="281"/>
      <c r="BE56" s="281"/>
      <c r="BF56" s="281"/>
      <c r="BG56" s="281"/>
      <c r="BH56" s="281"/>
      <c r="BI56" s="281"/>
      <c r="BJ56" s="281"/>
      <c r="BK56" s="281"/>
      <c r="BL56" s="281"/>
      <c r="BM56" s="281"/>
      <c r="BN56" s="281"/>
      <c r="BO56" s="281"/>
      <c r="BP56" s="281"/>
      <c r="BQ56" s="281"/>
      <c r="BR56" s="281"/>
      <c r="BS56" s="281"/>
      <c r="BT56" s="281"/>
      <c r="BU56" s="281"/>
      <c r="BV56" s="281"/>
      <c r="BW56" s="281"/>
      <c r="BX56" s="281"/>
      <c r="BY56" s="281"/>
      <c r="BZ56" s="281"/>
      <c r="CA56" s="281"/>
      <c r="CB56" s="281"/>
      <c r="CC56" s="281"/>
      <c r="CD56" s="281"/>
      <c r="CE56" s="281"/>
      <c r="CF56" s="281"/>
      <c r="CG56" s="281"/>
      <c r="CH56" s="281"/>
      <c r="CI56" s="281"/>
      <c r="CJ56" s="281"/>
      <c r="CK56" s="281"/>
      <c r="CL56" s="281"/>
      <c r="CM56" s="281"/>
      <c r="CN56" s="281"/>
      <c r="CO56" s="281"/>
      <c r="CP56" s="281"/>
      <c r="CQ56" s="281"/>
      <c r="CR56" s="281"/>
      <c r="CS56" s="281"/>
      <c r="CT56" s="281"/>
      <c r="CU56" s="281"/>
      <c r="CV56" s="281"/>
      <c r="CW56" s="281"/>
      <c r="CX56" s="281"/>
      <c r="CY56" s="281">
        <v>958314.03617420956</v>
      </c>
      <c r="CZ56" s="281"/>
      <c r="DA56" s="281"/>
      <c r="DB56" s="281"/>
      <c r="DC56" s="281"/>
      <c r="DD56" s="281"/>
      <c r="DE56" s="281"/>
      <c r="DF56" s="281"/>
      <c r="DG56" s="281"/>
      <c r="DH56" s="281"/>
      <c r="DI56" s="281"/>
      <c r="DJ56" s="281"/>
      <c r="DK56" s="281"/>
      <c r="DL56" s="281"/>
      <c r="DM56" s="281"/>
      <c r="DN56" s="281"/>
      <c r="DO56" s="281"/>
      <c r="DP56" s="281"/>
      <c r="DQ56" s="281"/>
      <c r="DR56" s="281"/>
      <c r="DS56" s="281"/>
      <c r="DT56" s="281"/>
      <c r="DU56" s="281"/>
      <c r="DV56" s="281"/>
      <c r="DW56" s="281"/>
      <c r="DX56" s="281"/>
      <c r="DY56" s="281"/>
      <c r="DZ56" s="281"/>
      <c r="EA56" s="281"/>
      <c r="EB56" s="281"/>
      <c r="EC56" s="281"/>
      <c r="ED56" s="281"/>
      <c r="EE56" s="281"/>
      <c r="EF56" s="281"/>
      <c r="EG56" s="281"/>
      <c r="EH56" s="281"/>
      <c r="EI56" s="281"/>
      <c r="EJ56" s="281"/>
      <c r="EK56" s="281"/>
      <c r="EL56" s="281">
        <v>958314.03617420956</v>
      </c>
    </row>
    <row r="57" spans="1:142" x14ac:dyDescent="0.25">
      <c r="A57" s="279" t="s">
        <v>1604</v>
      </c>
      <c r="B57" s="281"/>
      <c r="C57" s="281"/>
      <c r="D57" s="281"/>
      <c r="E57" s="281"/>
      <c r="F57" s="281"/>
      <c r="G57" s="281"/>
      <c r="H57" s="281"/>
      <c r="I57" s="281"/>
      <c r="J57" s="281"/>
      <c r="K57" s="281"/>
      <c r="L57" s="281"/>
      <c r="M57" s="281"/>
      <c r="N57" s="281"/>
      <c r="O57" s="281"/>
      <c r="P57" s="281"/>
      <c r="Q57" s="281"/>
      <c r="R57" s="281"/>
      <c r="S57" s="281"/>
      <c r="T57" s="281"/>
      <c r="U57" s="281"/>
      <c r="V57" s="281"/>
      <c r="W57" s="281"/>
      <c r="X57" s="281"/>
      <c r="Y57" s="281"/>
      <c r="Z57" s="281"/>
      <c r="AA57" s="281"/>
      <c r="AB57" s="281"/>
      <c r="AC57" s="281"/>
      <c r="AD57" s="281"/>
      <c r="AE57" s="281"/>
      <c r="AF57" s="281"/>
      <c r="AG57" s="281"/>
      <c r="AH57" s="281"/>
      <c r="AI57" s="281"/>
      <c r="AJ57" s="281"/>
      <c r="AK57" s="281"/>
      <c r="AL57" s="281"/>
      <c r="AM57" s="281"/>
      <c r="AN57" s="281"/>
      <c r="AO57" s="281"/>
      <c r="AP57" s="281"/>
      <c r="AQ57" s="281"/>
      <c r="AR57" s="281"/>
      <c r="AS57" s="281"/>
      <c r="AT57" s="281"/>
      <c r="AU57" s="281"/>
      <c r="AV57" s="281"/>
      <c r="AW57" s="281"/>
      <c r="AX57" s="281"/>
      <c r="AY57" s="281"/>
      <c r="AZ57" s="281"/>
      <c r="BA57" s="281"/>
      <c r="BB57" s="281"/>
      <c r="BC57" s="281"/>
      <c r="BD57" s="281"/>
      <c r="BE57" s="281"/>
      <c r="BF57" s="281"/>
      <c r="BG57" s="281"/>
      <c r="BH57" s="281"/>
      <c r="BI57" s="281"/>
      <c r="BJ57" s="281"/>
      <c r="BK57" s="281"/>
      <c r="BL57" s="281"/>
      <c r="BM57" s="281"/>
      <c r="BN57" s="281"/>
      <c r="BO57" s="281"/>
      <c r="BP57" s="281"/>
      <c r="BQ57" s="281"/>
      <c r="BR57" s="281"/>
      <c r="BS57" s="281"/>
      <c r="BT57" s="281"/>
      <c r="BU57" s="281"/>
      <c r="BV57" s="281"/>
      <c r="BW57" s="281"/>
      <c r="BX57" s="281"/>
      <c r="BY57" s="281"/>
      <c r="BZ57" s="281"/>
      <c r="CA57" s="281"/>
      <c r="CB57" s="281"/>
      <c r="CC57" s="281"/>
      <c r="CD57" s="281"/>
      <c r="CE57" s="281"/>
      <c r="CF57" s="281"/>
      <c r="CG57" s="281"/>
      <c r="CH57" s="281"/>
      <c r="CI57" s="281"/>
      <c r="CJ57" s="281"/>
      <c r="CK57" s="281"/>
      <c r="CL57" s="281"/>
      <c r="CM57" s="281"/>
      <c r="CN57" s="281"/>
      <c r="CO57" s="281"/>
      <c r="CP57" s="281"/>
      <c r="CQ57" s="281"/>
      <c r="CR57" s="281"/>
      <c r="CS57" s="281"/>
      <c r="CT57" s="281"/>
      <c r="CU57" s="281"/>
      <c r="CV57" s="281"/>
      <c r="CW57" s="281"/>
      <c r="CX57" s="281"/>
      <c r="CY57" s="281"/>
      <c r="CZ57" s="281">
        <v>728487.09088345035</v>
      </c>
      <c r="DA57" s="281"/>
      <c r="DB57" s="281"/>
      <c r="DC57" s="281"/>
      <c r="DD57" s="281"/>
      <c r="DE57" s="281"/>
      <c r="DF57" s="281"/>
      <c r="DG57" s="281"/>
      <c r="DH57" s="281"/>
      <c r="DI57" s="281"/>
      <c r="DJ57" s="281"/>
      <c r="DK57" s="281"/>
      <c r="DL57" s="281"/>
      <c r="DM57" s="281"/>
      <c r="DN57" s="281"/>
      <c r="DO57" s="281"/>
      <c r="DP57" s="281"/>
      <c r="DQ57" s="281"/>
      <c r="DR57" s="281"/>
      <c r="DS57" s="281"/>
      <c r="DT57" s="281"/>
      <c r="DU57" s="281"/>
      <c r="DV57" s="281"/>
      <c r="DW57" s="281"/>
      <c r="DX57" s="281"/>
      <c r="DY57" s="281"/>
      <c r="DZ57" s="281"/>
      <c r="EA57" s="281"/>
      <c r="EB57" s="281"/>
      <c r="EC57" s="281"/>
      <c r="ED57" s="281"/>
      <c r="EE57" s="281"/>
      <c r="EF57" s="281"/>
      <c r="EG57" s="281"/>
      <c r="EH57" s="281"/>
      <c r="EI57" s="281"/>
      <c r="EJ57" s="281"/>
      <c r="EK57" s="281"/>
      <c r="EL57" s="281">
        <v>728487.09088345035</v>
      </c>
    </row>
    <row r="58" spans="1:142" x14ac:dyDescent="0.25">
      <c r="A58" s="279" t="s">
        <v>1603</v>
      </c>
      <c r="B58" s="281"/>
      <c r="C58" s="281"/>
      <c r="D58" s="281"/>
      <c r="E58" s="281"/>
      <c r="F58" s="281"/>
      <c r="G58" s="281"/>
      <c r="H58" s="281"/>
      <c r="I58" s="281"/>
      <c r="J58" s="281"/>
      <c r="K58" s="281"/>
      <c r="L58" s="281"/>
      <c r="M58" s="281"/>
      <c r="N58" s="281"/>
      <c r="O58" s="281"/>
      <c r="P58" s="281"/>
      <c r="Q58" s="281"/>
      <c r="R58" s="281"/>
      <c r="S58" s="281"/>
      <c r="T58" s="281"/>
      <c r="U58" s="281"/>
      <c r="V58" s="281"/>
      <c r="W58" s="281"/>
      <c r="X58" s="281"/>
      <c r="Y58" s="281"/>
      <c r="Z58" s="281"/>
      <c r="AA58" s="281"/>
      <c r="AB58" s="281"/>
      <c r="AC58" s="281"/>
      <c r="AD58" s="281"/>
      <c r="AE58" s="281"/>
      <c r="AF58" s="281"/>
      <c r="AG58" s="281"/>
      <c r="AH58" s="281"/>
      <c r="AI58" s="281"/>
      <c r="AJ58" s="281"/>
      <c r="AK58" s="281"/>
      <c r="AL58" s="281"/>
      <c r="AM58" s="281"/>
      <c r="AN58" s="281"/>
      <c r="AO58" s="281"/>
      <c r="AP58" s="281"/>
      <c r="AQ58" s="281"/>
      <c r="AR58" s="281"/>
      <c r="AS58" s="281"/>
      <c r="AT58" s="281"/>
      <c r="AU58" s="281"/>
      <c r="AV58" s="281"/>
      <c r="AW58" s="281"/>
      <c r="AX58" s="281"/>
      <c r="AY58" s="281"/>
      <c r="AZ58" s="281"/>
      <c r="BA58" s="281"/>
      <c r="BB58" s="281"/>
      <c r="BC58" s="281"/>
      <c r="BD58" s="281"/>
      <c r="BE58" s="281"/>
      <c r="BF58" s="281"/>
      <c r="BG58" s="281"/>
      <c r="BH58" s="281"/>
      <c r="BI58" s="281"/>
      <c r="BJ58" s="281"/>
      <c r="BK58" s="281"/>
      <c r="BL58" s="281"/>
      <c r="BM58" s="281"/>
      <c r="BN58" s="281"/>
      <c r="BO58" s="281"/>
      <c r="BP58" s="281"/>
      <c r="BQ58" s="281"/>
      <c r="BR58" s="281"/>
      <c r="BS58" s="281"/>
      <c r="BT58" s="281"/>
      <c r="BU58" s="281"/>
      <c r="BV58" s="281"/>
      <c r="BW58" s="281"/>
      <c r="BX58" s="281"/>
      <c r="BY58" s="281"/>
      <c r="BZ58" s="281"/>
      <c r="CA58" s="281"/>
      <c r="CB58" s="281"/>
      <c r="CC58" s="281"/>
      <c r="CD58" s="281"/>
      <c r="CE58" s="281"/>
      <c r="CF58" s="281"/>
      <c r="CG58" s="281"/>
      <c r="CH58" s="281"/>
      <c r="CI58" s="281"/>
      <c r="CJ58" s="281"/>
      <c r="CK58" s="281"/>
      <c r="CL58" s="281"/>
      <c r="CM58" s="281"/>
      <c r="CN58" s="281"/>
      <c r="CO58" s="281"/>
      <c r="CP58" s="281"/>
      <c r="CQ58" s="281"/>
      <c r="CR58" s="281"/>
      <c r="CS58" s="281"/>
      <c r="CT58" s="281"/>
      <c r="CU58" s="281"/>
      <c r="CV58" s="281"/>
      <c r="CW58" s="281"/>
      <c r="CX58" s="281"/>
      <c r="CY58" s="281"/>
      <c r="CZ58" s="281"/>
      <c r="DA58" s="281">
        <v>615574.14943075681</v>
      </c>
      <c r="DB58" s="281"/>
      <c r="DC58" s="281"/>
      <c r="DD58" s="281"/>
      <c r="DE58" s="281"/>
      <c r="DF58" s="281"/>
      <c r="DG58" s="281"/>
      <c r="DH58" s="281"/>
      <c r="DI58" s="281"/>
      <c r="DJ58" s="281"/>
      <c r="DK58" s="281"/>
      <c r="DL58" s="281"/>
      <c r="DM58" s="281"/>
      <c r="DN58" s="281"/>
      <c r="DO58" s="281"/>
      <c r="DP58" s="281"/>
      <c r="DQ58" s="281"/>
      <c r="DR58" s="281"/>
      <c r="DS58" s="281"/>
      <c r="DT58" s="281"/>
      <c r="DU58" s="281"/>
      <c r="DV58" s="281"/>
      <c r="DW58" s="281"/>
      <c r="DX58" s="281"/>
      <c r="DY58" s="281"/>
      <c r="DZ58" s="281"/>
      <c r="EA58" s="281"/>
      <c r="EB58" s="281"/>
      <c r="EC58" s="281"/>
      <c r="ED58" s="281"/>
      <c r="EE58" s="281"/>
      <c r="EF58" s="281"/>
      <c r="EG58" s="281"/>
      <c r="EH58" s="281"/>
      <c r="EI58" s="281"/>
      <c r="EJ58" s="281"/>
      <c r="EK58" s="281"/>
      <c r="EL58" s="281">
        <v>615574.14943075681</v>
      </c>
    </row>
    <row r="59" spans="1:142" x14ac:dyDescent="0.25">
      <c r="A59" s="279" t="s">
        <v>1602</v>
      </c>
      <c r="B59" s="281">
        <v>4873.052538022469</v>
      </c>
      <c r="C59" s="281">
        <v>516.49239175858645</v>
      </c>
      <c r="D59" s="281">
        <v>53.624064217136585</v>
      </c>
      <c r="E59" s="281">
        <v>11.505146331409493</v>
      </c>
      <c r="F59" s="281">
        <v>1.2098054654823223</v>
      </c>
      <c r="G59" s="281">
        <v>3.8509522686867985</v>
      </c>
      <c r="H59" s="281">
        <v>3.6740468752676225</v>
      </c>
      <c r="I59" s="281">
        <v>0.24245082732893289</v>
      </c>
      <c r="J59" s="281">
        <v>0.29080752176283081</v>
      </c>
      <c r="K59" s="281">
        <v>8.4247490373690038E-4</v>
      </c>
      <c r="L59" s="281">
        <v>67143.489309255136</v>
      </c>
      <c r="M59" s="281">
        <v>9550.3817469384667</v>
      </c>
      <c r="N59" s="281">
        <v>4935.6506523694206</v>
      </c>
      <c r="O59" s="281">
        <v>38.074594005136944</v>
      </c>
      <c r="P59" s="281">
        <v>3907.4485635959604</v>
      </c>
      <c r="Q59" s="281">
        <v>846.82285764238031</v>
      </c>
      <c r="R59" s="281">
        <v>26.207450939046552</v>
      </c>
      <c r="S59" s="281">
        <v>128.92993636716963</v>
      </c>
      <c r="T59" s="281">
        <v>64.647388761057911</v>
      </c>
      <c r="U59" s="281">
        <v>112.96683752259496</v>
      </c>
      <c r="V59" s="281">
        <v>100.92670711363435</v>
      </c>
      <c r="W59" s="281">
        <v>664.43781539454687</v>
      </c>
      <c r="X59" s="281">
        <v>925.16020968811529</v>
      </c>
      <c r="Y59" s="281">
        <v>10.271920701572062</v>
      </c>
      <c r="Z59" s="281">
        <v>14.440581153980876</v>
      </c>
      <c r="AA59" s="281">
        <v>59.635142751714213</v>
      </c>
      <c r="AB59" s="281">
        <v>10.523378084061324</v>
      </c>
      <c r="AC59" s="281">
        <v>76.37230429642932</v>
      </c>
      <c r="AD59" s="281">
        <v>53.894035546886393</v>
      </c>
      <c r="AE59" s="281">
        <v>134.4266717394338</v>
      </c>
      <c r="AF59" s="281">
        <v>86.114302847627883</v>
      </c>
      <c r="AG59" s="281">
        <v>12.278975385051188</v>
      </c>
      <c r="AH59" s="281">
        <v>114.98889229369679</v>
      </c>
      <c r="AI59" s="281">
        <v>60.192016290051413</v>
      </c>
      <c r="AJ59" s="281">
        <v>24.638695324301391</v>
      </c>
      <c r="AK59" s="281">
        <v>1540.433165632905</v>
      </c>
      <c r="AL59" s="478">
        <v>20.503726471238789</v>
      </c>
      <c r="AM59" s="281"/>
      <c r="AN59" s="281">
        <v>2270.2089793927894</v>
      </c>
      <c r="AO59" s="281">
        <v>28.447049210158873</v>
      </c>
      <c r="AP59" s="281">
        <v>338.44215133075289</v>
      </c>
      <c r="AQ59" s="281">
        <v>3.391805994040871E-2</v>
      </c>
      <c r="AR59" s="281">
        <v>0.44395336484999609</v>
      </c>
      <c r="AS59" s="281">
        <v>0.39271316443963966</v>
      </c>
      <c r="AT59" s="281">
        <v>0.46332190664430467</v>
      </c>
      <c r="AU59" s="281">
        <v>1.4495932621107419</v>
      </c>
      <c r="AV59" s="281">
        <v>2.338897060916199</v>
      </c>
      <c r="AW59" s="281"/>
      <c r="AX59" s="281">
        <v>163.70142193448385</v>
      </c>
      <c r="AY59" s="281">
        <v>251.73421536482226</v>
      </c>
      <c r="AZ59" s="281">
        <v>3757.6832285928958</v>
      </c>
      <c r="BA59" s="281"/>
      <c r="BB59" s="281"/>
      <c r="BC59" s="281"/>
      <c r="BD59" s="281"/>
      <c r="BE59" s="281"/>
      <c r="BF59" s="281"/>
      <c r="BG59" s="281"/>
      <c r="BH59" s="281"/>
      <c r="BI59" s="281"/>
      <c r="BJ59" s="281"/>
      <c r="BK59" s="281"/>
      <c r="BL59" s="281"/>
      <c r="BM59" s="281"/>
      <c r="BN59" s="281"/>
      <c r="BO59" s="281"/>
      <c r="BP59" s="281"/>
      <c r="BQ59" s="281"/>
      <c r="BR59" s="281"/>
      <c r="BS59" s="281"/>
      <c r="BT59" s="281"/>
      <c r="BU59" s="281"/>
      <c r="BV59" s="281"/>
      <c r="BW59" s="281"/>
      <c r="BX59" s="281"/>
      <c r="BY59" s="281"/>
      <c r="BZ59" s="281"/>
      <c r="CA59" s="281"/>
      <c r="CB59" s="281"/>
      <c r="CC59" s="281"/>
      <c r="CD59" s="281"/>
      <c r="CE59" s="281"/>
      <c r="CF59" s="281"/>
      <c r="CG59" s="281"/>
      <c r="CH59" s="281"/>
      <c r="CI59" s="281"/>
      <c r="CJ59" s="281"/>
      <c r="CK59" s="281"/>
      <c r="CL59" s="281"/>
      <c r="CM59" s="281"/>
      <c r="CN59" s="281"/>
      <c r="CO59" s="281"/>
      <c r="CP59" s="281"/>
      <c r="CQ59" s="281"/>
      <c r="CR59" s="281"/>
      <c r="CS59" s="281"/>
      <c r="CT59" s="281"/>
      <c r="CU59" s="281"/>
      <c r="CV59" s="281"/>
      <c r="CW59" s="281"/>
      <c r="CX59" s="281"/>
      <c r="CY59" s="281"/>
      <c r="CZ59" s="281"/>
      <c r="DA59" s="281"/>
      <c r="DB59" s="281"/>
      <c r="DC59" s="281"/>
      <c r="DD59" s="281"/>
      <c r="DE59" s="281"/>
      <c r="DF59" s="281"/>
      <c r="DG59" s="281"/>
      <c r="DH59" s="281"/>
      <c r="DI59" s="281"/>
      <c r="DJ59" s="281"/>
      <c r="DK59" s="281"/>
      <c r="DL59" s="281">
        <v>5149.7561148321083</v>
      </c>
      <c r="DM59" s="281">
        <v>6412.246784362017</v>
      </c>
      <c r="DN59" s="281">
        <v>7179.2136903893215</v>
      </c>
      <c r="DO59" s="281">
        <v>7530.3579778084986</v>
      </c>
      <c r="DP59" s="281">
        <v>6911.5526571299251</v>
      </c>
      <c r="DQ59" s="281">
        <v>7586.8894042559405</v>
      </c>
      <c r="DR59" s="281">
        <v>6625.4025591038262</v>
      </c>
      <c r="DS59" s="281">
        <v>6035.4470710084724</v>
      </c>
      <c r="DT59" s="281">
        <v>7104.760002167106</v>
      </c>
      <c r="DU59" s="281">
        <v>1650.8514951200016</v>
      </c>
      <c r="DV59" s="281">
        <v>1574.5099827543231</v>
      </c>
      <c r="DW59" s="281">
        <v>1725.9652946049459</v>
      </c>
      <c r="DX59" s="281">
        <v>8564.7507023979288</v>
      </c>
      <c r="DY59" s="281">
        <v>3261.0284803429581</v>
      </c>
      <c r="DZ59" s="281"/>
      <c r="EA59" s="281"/>
      <c r="EB59" s="281"/>
      <c r="EC59" s="281"/>
      <c r="ED59" s="281"/>
      <c r="EE59" s="281"/>
      <c r="EF59" s="281"/>
      <c r="EG59" s="281"/>
      <c r="EH59" s="281"/>
      <c r="EI59" s="281"/>
      <c r="EJ59" s="281">
        <v>-3225.777602052578</v>
      </c>
      <c r="EK59" s="281">
        <v>22873.750984019629</v>
      </c>
      <c r="EL59" s="281">
        <v>199903.84596476387</v>
      </c>
    </row>
    <row r="60" spans="1:142" x14ac:dyDescent="0.25">
      <c r="A60" s="279" t="s">
        <v>1601</v>
      </c>
      <c r="B60" s="281"/>
      <c r="C60" s="281"/>
      <c r="D60" s="281"/>
      <c r="E60" s="281"/>
      <c r="F60" s="281"/>
      <c r="G60" s="281"/>
      <c r="H60" s="281"/>
      <c r="I60" s="281"/>
      <c r="J60" s="281"/>
      <c r="K60" s="281"/>
      <c r="L60" s="281"/>
      <c r="M60" s="281"/>
      <c r="N60" s="281"/>
      <c r="O60" s="281"/>
      <c r="P60" s="281"/>
      <c r="Q60" s="281"/>
      <c r="R60" s="281">
        <v>5300.3329803224005</v>
      </c>
      <c r="S60" s="281">
        <v>7049.78140745774</v>
      </c>
      <c r="T60" s="281">
        <v>63.230445261469228</v>
      </c>
      <c r="U60" s="281"/>
      <c r="V60" s="281"/>
      <c r="W60" s="281">
        <v>24.100609881616787</v>
      </c>
      <c r="X60" s="281">
        <v>20.936814067281958</v>
      </c>
      <c r="Y60" s="281"/>
      <c r="Z60" s="281"/>
      <c r="AA60" s="281"/>
      <c r="AB60" s="281"/>
      <c r="AC60" s="281"/>
      <c r="AD60" s="281"/>
      <c r="AE60" s="281"/>
      <c r="AF60" s="281"/>
      <c r="AG60" s="281"/>
      <c r="AH60" s="281"/>
      <c r="AI60" s="281"/>
      <c r="AJ60" s="281">
        <v>286.0753152072208</v>
      </c>
      <c r="AK60" s="281">
        <v>16.14231114776986</v>
      </c>
      <c r="AL60" s="478"/>
      <c r="AM60" s="281"/>
      <c r="AN60" s="281"/>
      <c r="AO60" s="281"/>
      <c r="AP60" s="281"/>
      <c r="AQ60" s="281"/>
      <c r="AR60" s="281"/>
      <c r="AS60" s="281"/>
      <c r="AT60" s="281"/>
      <c r="AU60" s="281"/>
      <c r="AV60" s="281"/>
      <c r="AW60" s="281"/>
      <c r="AX60" s="281"/>
      <c r="AY60" s="281"/>
      <c r="AZ60" s="281">
        <v>35.632384110657746</v>
      </c>
      <c r="BA60" s="281"/>
      <c r="BB60" s="281"/>
      <c r="BC60" s="281"/>
      <c r="BD60" s="281"/>
      <c r="BE60" s="281"/>
      <c r="BF60" s="281"/>
      <c r="BG60" s="281"/>
      <c r="BH60" s="281"/>
      <c r="BI60" s="281"/>
      <c r="BJ60" s="281"/>
      <c r="BK60" s="281"/>
      <c r="BL60" s="281"/>
      <c r="BM60" s="281"/>
      <c r="BN60" s="281"/>
      <c r="BO60" s="281"/>
      <c r="BP60" s="281"/>
      <c r="BQ60" s="281"/>
      <c r="BR60" s="281"/>
      <c r="BS60" s="281"/>
      <c r="BT60" s="281"/>
      <c r="BU60" s="281"/>
      <c r="BV60" s="281"/>
      <c r="BW60" s="281"/>
      <c r="BX60" s="281"/>
      <c r="BY60" s="281"/>
      <c r="BZ60" s="281"/>
      <c r="CA60" s="281"/>
      <c r="CB60" s="281"/>
      <c r="CC60" s="281"/>
      <c r="CD60" s="281"/>
      <c r="CE60" s="281"/>
      <c r="CF60" s="281"/>
      <c r="CG60" s="281"/>
      <c r="CH60" s="281"/>
      <c r="CI60" s="281"/>
      <c r="CJ60" s="281"/>
      <c r="CK60" s="281"/>
      <c r="CL60" s="281"/>
      <c r="CM60" s="281"/>
      <c r="CN60" s="281"/>
      <c r="CO60" s="281"/>
      <c r="CP60" s="281"/>
      <c r="CQ60" s="281"/>
      <c r="CR60" s="281"/>
      <c r="CS60" s="281"/>
      <c r="CT60" s="281"/>
      <c r="CU60" s="281"/>
      <c r="CV60" s="281"/>
      <c r="CW60" s="281"/>
      <c r="CX60" s="281"/>
      <c r="CY60" s="281"/>
      <c r="CZ60" s="281"/>
      <c r="DA60" s="281"/>
      <c r="DB60" s="281"/>
      <c r="DC60" s="281"/>
      <c r="DD60" s="281"/>
      <c r="DE60" s="281"/>
      <c r="DF60" s="281"/>
      <c r="DG60" s="281"/>
      <c r="DH60" s="281"/>
      <c r="DI60" s="281"/>
      <c r="DJ60" s="281"/>
      <c r="DK60" s="281"/>
      <c r="DL60" s="281">
        <v>846.06794435877771</v>
      </c>
      <c r="DM60" s="281">
        <v>1291.9227001929376</v>
      </c>
      <c r="DN60" s="281">
        <v>910.83205480105744</v>
      </c>
      <c r="DO60" s="281">
        <v>847.29174084138481</v>
      </c>
      <c r="DP60" s="281">
        <v>590.87332431034861</v>
      </c>
      <c r="DQ60" s="281">
        <v>660.15206548149285</v>
      </c>
      <c r="DR60" s="281">
        <v>443.0325470755036</v>
      </c>
      <c r="DS60" s="281">
        <v>83.834334195046409</v>
      </c>
      <c r="DT60" s="281">
        <v>293.46488074269973</v>
      </c>
      <c r="DU60" s="281">
        <v>53.717937350683556</v>
      </c>
      <c r="DV60" s="281">
        <v>31.876101172188147</v>
      </c>
      <c r="DW60" s="281">
        <v>20.083180527416406</v>
      </c>
      <c r="DX60" s="281">
        <v>66.794568257479199</v>
      </c>
      <c r="DY60" s="281">
        <v>256.89035509473024</v>
      </c>
      <c r="DZ60" s="281"/>
      <c r="EA60" s="281"/>
      <c r="EB60" s="281"/>
      <c r="EC60" s="281"/>
      <c r="ED60" s="281"/>
      <c r="EE60" s="281"/>
      <c r="EF60" s="281"/>
      <c r="EG60" s="281"/>
      <c r="EH60" s="281"/>
      <c r="EI60" s="281"/>
      <c r="EJ60" s="281">
        <v>261.16782830349081</v>
      </c>
      <c r="EK60" s="281">
        <v>388.57865184937498</v>
      </c>
      <c r="EL60" s="281">
        <v>19842.81248201077</v>
      </c>
    </row>
    <row r="61" spans="1:142" x14ac:dyDescent="0.25">
      <c r="A61" s="279" t="s">
        <v>1600</v>
      </c>
      <c r="B61" s="281"/>
      <c r="C61" s="281"/>
      <c r="D61" s="281"/>
      <c r="E61" s="281"/>
      <c r="F61" s="281"/>
      <c r="G61" s="281"/>
      <c r="H61" s="281"/>
      <c r="I61" s="281"/>
      <c r="J61" s="281"/>
      <c r="K61" s="281"/>
      <c r="L61" s="281">
        <v>3108.3255772445168</v>
      </c>
      <c r="M61" s="281"/>
      <c r="N61" s="281"/>
      <c r="O61" s="281"/>
      <c r="P61" s="281"/>
      <c r="Q61" s="281"/>
      <c r="R61" s="281"/>
      <c r="S61" s="281"/>
      <c r="T61" s="281"/>
      <c r="U61" s="281"/>
      <c r="V61" s="281"/>
      <c r="W61" s="281"/>
      <c r="X61" s="281"/>
      <c r="Y61" s="281"/>
      <c r="Z61" s="281"/>
      <c r="AA61" s="281"/>
      <c r="AB61" s="281"/>
      <c r="AC61" s="281"/>
      <c r="AD61" s="281"/>
      <c r="AE61" s="281"/>
      <c r="AF61" s="281"/>
      <c r="AG61" s="281"/>
      <c r="AH61" s="281"/>
      <c r="AI61" s="281"/>
      <c r="AJ61" s="281"/>
      <c r="AK61" s="281">
        <v>117.53641457524442</v>
      </c>
      <c r="AL61" s="478">
        <v>5.641124717430281</v>
      </c>
      <c r="AM61" s="281"/>
      <c r="AN61" s="281"/>
      <c r="AO61" s="281"/>
      <c r="AP61" s="281">
        <v>204.14144084464411</v>
      </c>
      <c r="AQ61" s="281">
        <v>8.9876864916184893E-2</v>
      </c>
      <c r="AR61" s="281">
        <v>1.1763978732539933</v>
      </c>
      <c r="AS61" s="281">
        <v>1.0406204727905644</v>
      </c>
      <c r="AT61" s="281">
        <v>1.2277207791310529</v>
      </c>
      <c r="AU61" s="281">
        <v>3.84116473592087</v>
      </c>
      <c r="AV61" s="281">
        <v>6.197661418971399</v>
      </c>
      <c r="AW61" s="281"/>
      <c r="AX61" s="281">
        <v>35.237323315337704</v>
      </c>
      <c r="AY61" s="281">
        <v>113.10449169090151</v>
      </c>
      <c r="AZ61" s="281">
        <v>418.23507486853055</v>
      </c>
      <c r="BA61" s="281"/>
      <c r="BB61" s="281"/>
      <c r="BC61" s="281"/>
      <c r="BD61" s="281"/>
      <c r="BE61" s="281"/>
      <c r="BF61" s="281"/>
      <c r="BG61" s="281"/>
      <c r="BH61" s="281"/>
      <c r="BI61" s="281"/>
      <c r="BJ61" s="281"/>
      <c r="BK61" s="281"/>
      <c r="BL61" s="281"/>
      <c r="BM61" s="281"/>
      <c r="BN61" s="281"/>
      <c r="BO61" s="281"/>
      <c r="BP61" s="281"/>
      <c r="BQ61" s="281"/>
      <c r="BR61" s="281"/>
      <c r="BS61" s="281"/>
      <c r="BT61" s="281"/>
      <c r="BU61" s="281"/>
      <c r="BV61" s="281"/>
      <c r="BW61" s="281"/>
      <c r="BX61" s="281"/>
      <c r="BY61" s="281"/>
      <c r="BZ61" s="281"/>
      <c r="CA61" s="281"/>
      <c r="CB61" s="281"/>
      <c r="CC61" s="281"/>
      <c r="CD61" s="281"/>
      <c r="CE61" s="281"/>
      <c r="CF61" s="281"/>
      <c r="CG61" s="281"/>
      <c r="CH61" s="281"/>
      <c r="CI61" s="281"/>
      <c r="CJ61" s="281"/>
      <c r="CK61" s="281"/>
      <c r="CL61" s="281"/>
      <c r="CM61" s="281"/>
      <c r="CN61" s="281"/>
      <c r="CO61" s="281"/>
      <c r="CP61" s="281"/>
      <c r="CQ61" s="281"/>
      <c r="CR61" s="281"/>
      <c r="CS61" s="281"/>
      <c r="CT61" s="281"/>
      <c r="CU61" s="281"/>
      <c r="CV61" s="281"/>
      <c r="CW61" s="281"/>
      <c r="CX61" s="281"/>
      <c r="CY61" s="281"/>
      <c r="CZ61" s="281"/>
      <c r="DA61" s="281"/>
      <c r="DB61" s="281"/>
      <c r="DC61" s="281"/>
      <c r="DD61" s="281"/>
      <c r="DE61" s="281"/>
      <c r="DF61" s="281"/>
      <c r="DG61" s="281"/>
      <c r="DH61" s="281"/>
      <c r="DI61" s="281"/>
      <c r="DJ61" s="281"/>
      <c r="DK61" s="281"/>
      <c r="DL61" s="281">
        <v>27.167641434963933</v>
      </c>
      <c r="DM61" s="281">
        <v>46.771582823154958</v>
      </c>
      <c r="DN61" s="281">
        <v>26.227272634535968</v>
      </c>
      <c r="DO61" s="281">
        <v>57.279884776937422</v>
      </c>
      <c r="DP61" s="281">
        <v>17.02912171831445</v>
      </c>
      <c r="DQ61" s="281">
        <v>92.567093369048422</v>
      </c>
      <c r="DR61" s="281">
        <v>21.496689076638276</v>
      </c>
      <c r="DS61" s="281">
        <v>37.423230101937051</v>
      </c>
      <c r="DT61" s="281">
        <v>166.51262093356166</v>
      </c>
      <c r="DU61" s="281">
        <v>43.897813881576603</v>
      </c>
      <c r="DV61" s="281">
        <v>38.99390841339617</v>
      </c>
      <c r="DW61" s="281">
        <v>51.636890223520766</v>
      </c>
      <c r="DX61" s="281">
        <v>588.07383678895292</v>
      </c>
      <c r="DY61" s="281">
        <v>49.775428767470729</v>
      </c>
      <c r="DZ61" s="281"/>
      <c r="EA61" s="281"/>
      <c r="EB61" s="281"/>
      <c r="EC61" s="281"/>
      <c r="ED61" s="281"/>
      <c r="EE61" s="281"/>
      <c r="EF61" s="281"/>
      <c r="EG61" s="281"/>
      <c r="EH61" s="281"/>
      <c r="EI61" s="281"/>
      <c r="EJ61" s="281">
        <v>168.11252212217383</v>
      </c>
      <c r="EK61" s="281">
        <v>1083.667245644986</v>
      </c>
      <c r="EL61" s="281">
        <v>6532.4276721127571</v>
      </c>
    </row>
    <row r="62" spans="1:142" x14ac:dyDescent="0.25">
      <c r="A62" s="279" t="s">
        <v>1599</v>
      </c>
      <c r="B62" s="281"/>
      <c r="C62" s="281"/>
      <c r="D62" s="281"/>
      <c r="E62" s="281">
        <v>1061.9495191978515</v>
      </c>
      <c r="F62" s="281"/>
      <c r="G62" s="281"/>
      <c r="H62" s="281"/>
      <c r="I62" s="281"/>
      <c r="J62" s="281"/>
      <c r="K62" s="281">
        <v>2.4919326050803687E-3</v>
      </c>
      <c r="L62" s="281"/>
      <c r="M62" s="281"/>
      <c r="N62" s="281"/>
      <c r="O62" s="281"/>
      <c r="P62" s="281"/>
      <c r="Q62" s="281"/>
      <c r="R62" s="281"/>
      <c r="S62" s="281"/>
      <c r="T62" s="281"/>
      <c r="U62" s="281">
        <v>7876.8156438645474</v>
      </c>
      <c r="V62" s="281">
        <v>298.52824228269816</v>
      </c>
      <c r="W62" s="281">
        <v>86.000293229705946</v>
      </c>
      <c r="X62" s="281">
        <v>56.912113710486253</v>
      </c>
      <c r="Y62" s="281">
        <v>10.221464478021176</v>
      </c>
      <c r="Z62" s="281"/>
      <c r="AA62" s="281"/>
      <c r="AB62" s="281"/>
      <c r="AC62" s="281"/>
      <c r="AD62" s="281"/>
      <c r="AE62" s="281"/>
      <c r="AF62" s="281"/>
      <c r="AG62" s="281"/>
      <c r="AH62" s="281"/>
      <c r="AI62" s="281"/>
      <c r="AJ62" s="281"/>
      <c r="AK62" s="281"/>
      <c r="AL62" s="479">
        <v>28309.584706766098</v>
      </c>
      <c r="AM62" s="281"/>
      <c r="AN62" s="281"/>
      <c r="AO62" s="281"/>
      <c r="AP62" s="281"/>
      <c r="AQ62" s="281"/>
      <c r="AR62" s="281"/>
      <c r="AS62" s="281"/>
      <c r="AT62" s="281"/>
      <c r="AU62" s="281"/>
      <c r="AV62" s="281"/>
      <c r="AW62" s="281"/>
      <c r="AX62" s="281"/>
      <c r="AY62" s="281"/>
      <c r="AZ62" s="281"/>
      <c r="BA62" s="281"/>
      <c r="BB62" s="281"/>
      <c r="BC62" s="281"/>
      <c r="BD62" s="281"/>
      <c r="BE62" s="281"/>
      <c r="BF62" s="281"/>
      <c r="BG62" s="281"/>
      <c r="BH62" s="281"/>
      <c r="BI62" s="281"/>
      <c r="BJ62" s="281"/>
      <c r="BK62" s="281"/>
      <c r="BL62" s="281"/>
      <c r="BM62" s="281"/>
      <c r="BN62" s="281"/>
      <c r="BO62" s="281"/>
      <c r="BP62" s="281"/>
      <c r="BQ62" s="281"/>
      <c r="BR62" s="281"/>
      <c r="BS62" s="281"/>
      <c r="BT62" s="281"/>
      <c r="BU62" s="281"/>
      <c r="BV62" s="281"/>
      <c r="BW62" s="281"/>
      <c r="BX62" s="281"/>
      <c r="BY62" s="281"/>
      <c r="BZ62" s="281"/>
      <c r="CA62" s="281"/>
      <c r="CB62" s="281"/>
      <c r="CC62" s="281"/>
      <c r="CD62" s="281"/>
      <c r="CE62" s="281"/>
      <c r="CF62" s="281"/>
      <c r="CG62" s="281"/>
      <c r="CH62" s="281"/>
      <c r="CI62" s="281"/>
      <c r="CJ62" s="281"/>
      <c r="CK62" s="281"/>
      <c r="CL62" s="281"/>
      <c r="CM62" s="281"/>
      <c r="CN62" s="281"/>
      <c r="CO62" s="281"/>
      <c r="CP62" s="281"/>
      <c r="CQ62" s="281"/>
      <c r="CR62" s="281"/>
      <c r="CS62" s="281"/>
      <c r="CT62" s="281"/>
      <c r="CU62" s="281"/>
      <c r="CV62" s="281"/>
      <c r="CW62" s="281"/>
      <c r="CX62" s="281"/>
      <c r="CY62" s="281"/>
      <c r="CZ62" s="281"/>
      <c r="DA62" s="281"/>
      <c r="DB62" s="281"/>
      <c r="DC62" s="281"/>
      <c r="DD62" s="281"/>
      <c r="DE62" s="281"/>
      <c r="DF62" s="281"/>
      <c r="DG62" s="281"/>
      <c r="DH62" s="281"/>
      <c r="DI62" s="281"/>
      <c r="DJ62" s="281"/>
      <c r="DK62" s="281"/>
      <c r="DL62" s="281"/>
      <c r="DM62" s="281"/>
      <c r="DN62" s="281"/>
      <c r="DO62" s="281"/>
      <c r="DP62" s="281"/>
      <c r="DQ62" s="281"/>
      <c r="DR62" s="281"/>
      <c r="DS62" s="281"/>
      <c r="DT62" s="281"/>
      <c r="DU62" s="281"/>
      <c r="DV62" s="281"/>
      <c r="DW62" s="281"/>
      <c r="DX62" s="281"/>
      <c r="DY62" s="281"/>
      <c r="DZ62" s="281"/>
      <c r="EA62" s="281"/>
      <c r="EB62" s="281"/>
      <c r="EC62" s="281"/>
      <c r="ED62" s="281"/>
      <c r="EE62" s="281"/>
      <c r="EF62" s="281"/>
      <c r="EG62" s="281"/>
      <c r="EH62" s="281"/>
      <c r="EI62" s="281"/>
      <c r="EJ62" s="281"/>
      <c r="EK62" s="281"/>
      <c r="EL62" s="281">
        <v>37700.014475462012</v>
      </c>
    </row>
    <row r="63" spans="1:142" x14ac:dyDescent="0.25">
      <c r="A63" s="279" t="s">
        <v>1598</v>
      </c>
      <c r="B63" s="281">
        <v>22.002078882827739</v>
      </c>
      <c r="C63" s="281"/>
      <c r="D63" s="281"/>
      <c r="E63" s="281"/>
      <c r="F63" s="281">
        <v>399.50763094814971</v>
      </c>
      <c r="G63" s="281">
        <v>2738.6235330408549</v>
      </c>
      <c r="H63" s="281">
        <v>401.56460322189139</v>
      </c>
      <c r="I63" s="281">
        <v>28.50652492106305</v>
      </c>
      <c r="J63" s="281">
        <v>34.192136845620261</v>
      </c>
      <c r="K63" s="281"/>
      <c r="L63" s="281">
        <v>655.18491735971281</v>
      </c>
      <c r="M63" s="281">
        <v>119.94237517450233</v>
      </c>
      <c r="N63" s="281">
        <v>958.7576880409365</v>
      </c>
      <c r="O63" s="281">
        <v>260.666395886337</v>
      </c>
      <c r="P63" s="281">
        <v>16.6575223541772</v>
      </c>
      <c r="Q63" s="281">
        <v>4.835148658052419</v>
      </c>
      <c r="R63" s="281">
        <v>637.18599464038346</v>
      </c>
      <c r="S63" s="281">
        <v>913.68092441796819</v>
      </c>
      <c r="T63" s="281">
        <v>98.31521545574563</v>
      </c>
      <c r="U63" s="281"/>
      <c r="V63" s="281"/>
      <c r="W63" s="281"/>
      <c r="X63" s="281"/>
      <c r="Y63" s="281"/>
      <c r="Z63" s="281">
        <v>25.381870939054263</v>
      </c>
      <c r="AA63" s="281">
        <v>1693.7535358245941</v>
      </c>
      <c r="AB63" s="281">
        <v>2875.6522041002686</v>
      </c>
      <c r="AC63" s="281">
        <v>35.38172144670947</v>
      </c>
      <c r="AD63" s="281">
        <v>47.056382632119245</v>
      </c>
      <c r="AE63" s="281">
        <v>112.9473647089075</v>
      </c>
      <c r="AF63" s="281">
        <v>61.936616286326476</v>
      </c>
      <c r="AG63" s="281">
        <v>15.643469439310474</v>
      </c>
      <c r="AH63" s="281">
        <v>14.051046873992879</v>
      </c>
      <c r="AI63" s="281">
        <v>18.575917841642859</v>
      </c>
      <c r="AJ63" s="281">
        <v>105.36479492826936</v>
      </c>
      <c r="AK63" s="281">
        <v>45.122709884168039</v>
      </c>
      <c r="AL63" s="478"/>
      <c r="AM63" s="281">
        <v>232.32242111197468</v>
      </c>
      <c r="AN63" s="281"/>
      <c r="AO63" s="281"/>
      <c r="AP63" s="281">
        <v>9.0266981314131218</v>
      </c>
      <c r="AQ63" s="281"/>
      <c r="AR63" s="281"/>
      <c r="AS63" s="281">
        <v>23.151711564122586</v>
      </c>
      <c r="AT63" s="281"/>
      <c r="AU63" s="281"/>
      <c r="AV63" s="281">
        <v>19.453543038282888</v>
      </c>
      <c r="AW63" s="281"/>
      <c r="AX63" s="281">
        <v>29.410171342510065</v>
      </c>
      <c r="AY63" s="281">
        <v>107.5996830060717</v>
      </c>
      <c r="AZ63" s="281">
        <v>25.915833439274873</v>
      </c>
      <c r="BA63" s="281"/>
      <c r="BB63" s="281"/>
      <c r="BC63" s="281"/>
      <c r="BD63" s="281"/>
      <c r="BE63" s="281"/>
      <c r="BF63" s="281"/>
      <c r="BG63" s="281"/>
      <c r="BH63" s="281"/>
      <c r="BI63" s="281"/>
      <c r="BJ63" s="281"/>
      <c r="BK63" s="281"/>
      <c r="BL63" s="281"/>
      <c r="BM63" s="281"/>
      <c r="BN63" s="281"/>
      <c r="BO63" s="281"/>
      <c r="BP63" s="281"/>
      <c r="BQ63" s="281"/>
      <c r="BR63" s="281"/>
      <c r="BS63" s="281"/>
      <c r="BT63" s="281"/>
      <c r="BU63" s="281"/>
      <c r="BV63" s="281"/>
      <c r="BW63" s="281"/>
      <c r="BX63" s="281"/>
      <c r="BY63" s="281"/>
      <c r="BZ63" s="281"/>
      <c r="CA63" s="281"/>
      <c r="CB63" s="281"/>
      <c r="CC63" s="281"/>
      <c r="CD63" s="281"/>
      <c r="CE63" s="281"/>
      <c r="CF63" s="281"/>
      <c r="CG63" s="281"/>
      <c r="CH63" s="281"/>
      <c r="CI63" s="281"/>
      <c r="CJ63" s="281"/>
      <c r="CK63" s="281"/>
      <c r="CL63" s="281"/>
      <c r="CM63" s="281"/>
      <c r="CN63" s="281"/>
      <c r="CO63" s="281"/>
      <c r="CP63" s="281"/>
      <c r="CQ63" s="281"/>
      <c r="CR63" s="281"/>
      <c r="CS63" s="281"/>
      <c r="CT63" s="281"/>
      <c r="CU63" s="281"/>
      <c r="CV63" s="281"/>
      <c r="CW63" s="281"/>
      <c r="CX63" s="281"/>
      <c r="CY63" s="281"/>
      <c r="CZ63" s="281"/>
      <c r="DA63" s="281"/>
      <c r="DB63" s="281"/>
      <c r="DC63" s="281"/>
      <c r="DD63" s="281"/>
      <c r="DE63" s="281"/>
      <c r="DF63" s="281"/>
      <c r="DG63" s="281"/>
      <c r="DH63" s="281"/>
      <c r="DI63" s="281"/>
      <c r="DJ63" s="281"/>
      <c r="DK63" s="281"/>
      <c r="DL63" s="281">
        <v>11.909247821589975</v>
      </c>
      <c r="DM63" s="281">
        <v>20.124111651489564</v>
      </c>
      <c r="DN63" s="281">
        <v>53.657127227591111</v>
      </c>
      <c r="DO63" s="281">
        <v>48.977417067691434</v>
      </c>
      <c r="DP63" s="281">
        <v>46.997909710121014</v>
      </c>
      <c r="DQ63" s="281">
        <v>116.94715079140205</v>
      </c>
      <c r="DR63" s="281">
        <v>74.339060826321699</v>
      </c>
      <c r="DS63" s="281">
        <v>20.112140891607659</v>
      </c>
      <c r="DT63" s="281">
        <v>4.4543376444845784</v>
      </c>
      <c r="DU63" s="281"/>
      <c r="DV63" s="281"/>
      <c r="DW63" s="281"/>
      <c r="DX63" s="281">
        <v>6.4591076434658037</v>
      </c>
      <c r="DY63" s="281">
        <v>17.629792181663984</v>
      </c>
      <c r="DZ63" s="281"/>
      <c r="EA63" s="281"/>
      <c r="EB63" s="281"/>
      <c r="EC63" s="281"/>
      <c r="ED63" s="281"/>
      <c r="EE63" s="281"/>
      <c r="EF63" s="281"/>
      <c r="EG63" s="281"/>
      <c r="EH63" s="281"/>
      <c r="EI63" s="281"/>
      <c r="EJ63" s="281"/>
      <c r="EK63" s="281">
        <v>48585.161481510229</v>
      </c>
      <c r="EL63" s="281">
        <v>61794.139271354892</v>
      </c>
    </row>
    <row r="64" spans="1:142" x14ac:dyDescent="0.25">
      <c r="A64" s="279" t="s">
        <v>1597</v>
      </c>
      <c r="B64" s="281"/>
      <c r="C64" s="281"/>
      <c r="D64" s="281"/>
      <c r="E64" s="281"/>
      <c r="F64" s="281"/>
      <c r="G64" s="281"/>
      <c r="H64" s="281">
        <v>0.16763635597956994</v>
      </c>
      <c r="I64" s="281">
        <v>1.1062344759739547E-2</v>
      </c>
      <c r="J64" s="281">
        <v>1.326872380642107E-2</v>
      </c>
      <c r="K64" s="281"/>
      <c r="L64" s="281"/>
      <c r="M64" s="281"/>
      <c r="N64" s="281"/>
      <c r="O64" s="281"/>
      <c r="P64" s="281"/>
      <c r="Q64" s="281"/>
      <c r="R64" s="281">
        <v>10.139108227467178</v>
      </c>
      <c r="S64" s="281"/>
      <c r="T64" s="281">
        <v>0.34279758834101676</v>
      </c>
      <c r="U64" s="281">
        <v>7.8661643854153827</v>
      </c>
      <c r="V64" s="281"/>
      <c r="W64" s="281"/>
      <c r="X64" s="281"/>
      <c r="Y64" s="281"/>
      <c r="Z64" s="281"/>
      <c r="AA64" s="281">
        <v>0.19349029286215219</v>
      </c>
      <c r="AB64" s="281">
        <v>31371.201858545377</v>
      </c>
      <c r="AC64" s="281">
        <v>8525.2610187109021</v>
      </c>
      <c r="AD64" s="281">
        <v>1957.279518209898</v>
      </c>
      <c r="AE64" s="281">
        <v>1699.4876479540878</v>
      </c>
      <c r="AF64" s="281">
        <v>1860.9466919769684</v>
      </c>
      <c r="AG64" s="281">
        <v>491.82505519526438</v>
      </c>
      <c r="AH64" s="281">
        <v>2785.320165287857</v>
      </c>
      <c r="AI64" s="281">
        <v>239.59598477423225</v>
      </c>
      <c r="AJ64" s="281"/>
      <c r="AK64" s="281">
        <v>204.5826830786406</v>
      </c>
      <c r="AL64" s="478"/>
      <c r="AM64" s="281"/>
      <c r="AN64" s="281"/>
      <c r="AO64" s="281"/>
      <c r="AP64" s="281"/>
      <c r="AQ64" s="281"/>
      <c r="AR64" s="281"/>
      <c r="AS64" s="281"/>
      <c r="AT64" s="281"/>
      <c r="AU64" s="281"/>
      <c r="AV64" s="281"/>
      <c r="AW64" s="281"/>
      <c r="AX64" s="281">
        <v>991.83445878415307</v>
      </c>
      <c r="AY64" s="281"/>
      <c r="AZ64" s="281">
        <v>6.4501285687365417</v>
      </c>
      <c r="BA64" s="281"/>
      <c r="BB64" s="281"/>
      <c r="BC64" s="281"/>
      <c r="BD64" s="281"/>
      <c r="BE64" s="281"/>
      <c r="BF64" s="281"/>
      <c r="BG64" s="281"/>
      <c r="BH64" s="281"/>
      <c r="BI64" s="281"/>
      <c r="BJ64" s="281"/>
      <c r="BK64" s="281"/>
      <c r="BL64" s="281"/>
      <c r="BM64" s="281"/>
      <c r="BN64" s="281"/>
      <c r="BO64" s="281"/>
      <c r="BP64" s="281"/>
      <c r="BQ64" s="281"/>
      <c r="BR64" s="281"/>
      <c r="BS64" s="281"/>
      <c r="BT64" s="281"/>
      <c r="BU64" s="281"/>
      <c r="BV64" s="281"/>
      <c r="BW64" s="281"/>
      <c r="BX64" s="281"/>
      <c r="BY64" s="281"/>
      <c r="BZ64" s="281"/>
      <c r="CA64" s="281"/>
      <c r="CB64" s="281"/>
      <c r="CC64" s="281"/>
      <c r="CD64" s="281"/>
      <c r="CE64" s="281"/>
      <c r="CF64" s="281"/>
      <c r="CG64" s="281"/>
      <c r="CH64" s="281"/>
      <c r="CI64" s="281"/>
      <c r="CJ64" s="281"/>
      <c r="CK64" s="281"/>
      <c r="CL64" s="281"/>
      <c r="CM64" s="281"/>
      <c r="CN64" s="281"/>
      <c r="CO64" s="281"/>
      <c r="CP64" s="281"/>
      <c r="CQ64" s="281"/>
      <c r="CR64" s="281"/>
      <c r="CS64" s="281"/>
      <c r="CT64" s="281"/>
      <c r="CU64" s="281"/>
      <c r="CV64" s="281"/>
      <c r="CW64" s="281"/>
      <c r="CX64" s="281"/>
      <c r="CY64" s="281"/>
      <c r="CZ64" s="281"/>
      <c r="DA64" s="281"/>
      <c r="DB64" s="281"/>
      <c r="DC64" s="281"/>
      <c r="DD64" s="281"/>
      <c r="DE64" s="281"/>
      <c r="DF64" s="281"/>
      <c r="DG64" s="281"/>
      <c r="DH64" s="281"/>
      <c r="DI64" s="281"/>
      <c r="DJ64" s="281"/>
      <c r="DK64" s="281"/>
      <c r="DL64" s="281"/>
      <c r="DM64" s="281"/>
      <c r="DN64" s="281"/>
      <c r="DO64" s="281"/>
      <c r="DP64" s="281"/>
      <c r="DQ64" s="281"/>
      <c r="DR64" s="281"/>
      <c r="DS64" s="281"/>
      <c r="DT64" s="281"/>
      <c r="DU64" s="281"/>
      <c r="DV64" s="281"/>
      <c r="DW64" s="281"/>
      <c r="DX64" s="281"/>
      <c r="DY64" s="281"/>
      <c r="DZ64" s="281"/>
      <c r="EA64" s="281"/>
      <c r="EB64" s="281"/>
      <c r="EC64" s="281"/>
      <c r="ED64" s="281"/>
      <c r="EE64" s="281"/>
      <c r="EF64" s="281"/>
      <c r="EG64" s="281"/>
      <c r="EH64" s="281"/>
      <c r="EI64" s="281"/>
      <c r="EJ64" s="281">
        <v>1657.6411625104656</v>
      </c>
      <c r="EK64" s="281">
        <v>242693.76129402485</v>
      </c>
      <c r="EL64" s="281">
        <v>294503.92119554005</v>
      </c>
    </row>
    <row r="65" spans="1:142" x14ac:dyDescent="0.25">
      <c r="A65" s="279" t="s">
        <v>1596</v>
      </c>
      <c r="B65" s="281">
        <v>3440.0489575719371</v>
      </c>
      <c r="C65" s="281">
        <v>365.81670813320528</v>
      </c>
      <c r="D65" s="281">
        <v>37.127331712721301</v>
      </c>
      <c r="E65" s="281">
        <v>251.6278982064774</v>
      </c>
      <c r="F65" s="281">
        <v>92.245997787398963</v>
      </c>
      <c r="G65" s="281">
        <v>635.68624743926227</v>
      </c>
      <c r="H65" s="281">
        <v>163.75846758045628</v>
      </c>
      <c r="I65" s="281">
        <v>10.831424825316715</v>
      </c>
      <c r="J65" s="281">
        <v>12.99174700830096</v>
      </c>
      <c r="K65" s="281">
        <v>5.6735816543919515E-2</v>
      </c>
      <c r="L65" s="281">
        <v>190.30464146954148</v>
      </c>
      <c r="M65" s="281">
        <v>7.9826314211113025E-2</v>
      </c>
      <c r="N65" s="281">
        <v>24.227184178594285</v>
      </c>
      <c r="O65" s="281"/>
      <c r="P65" s="281"/>
      <c r="Q65" s="281"/>
      <c r="R65" s="281">
        <v>572.69767364688687</v>
      </c>
      <c r="S65" s="281"/>
      <c r="T65" s="281">
        <v>348.78505130489538</v>
      </c>
      <c r="U65" s="281">
        <v>2.6232555683235408E-8</v>
      </c>
      <c r="V65" s="281">
        <v>6796.8305213389467</v>
      </c>
      <c r="W65" s="281">
        <v>3603.8000479329553</v>
      </c>
      <c r="X65" s="281"/>
      <c r="Y65" s="281">
        <v>554.32461683087513</v>
      </c>
      <c r="Z65" s="281">
        <v>1708.4691033997067</v>
      </c>
      <c r="AA65" s="281">
        <v>14163.274581948517</v>
      </c>
      <c r="AB65" s="281">
        <v>165.93701815591839</v>
      </c>
      <c r="AC65" s="281"/>
      <c r="AD65" s="281"/>
      <c r="AE65" s="281">
        <v>517.12641128070243</v>
      </c>
      <c r="AF65" s="281"/>
      <c r="AG65" s="281">
        <v>7.6298614117325609</v>
      </c>
      <c r="AH65" s="281">
        <v>131.93754385032963</v>
      </c>
      <c r="AI65" s="281">
        <v>0.22744123487176995</v>
      </c>
      <c r="AJ65" s="281">
        <v>4.9364138212353641</v>
      </c>
      <c r="AK65" s="281">
        <v>5446.2636387643824</v>
      </c>
      <c r="AL65" s="479">
        <v>0.15200000000004366</v>
      </c>
      <c r="AM65" s="281">
        <v>40.242725256153484</v>
      </c>
      <c r="AN65" s="281">
        <v>12804.488914243479</v>
      </c>
      <c r="AO65" s="281"/>
      <c r="AP65" s="281">
        <v>33.802198225017897</v>
      </c>
      <c r="AQ65" s="281">
        <v>18.271733712579934</v>
      </c>
      <c r="AR65" s="281">
        <v>239.1616577150908</v>
      </c>
      <c r="AS65" s="281">
        <v>211.44773253281483</v>
      </c>
      <c r="AT65" s="281">
        <v>249.60841241576665</v>
      </c>
      <c r="AU65" s="281">
        <v>780.94876934414935</v>
      </c>
      <c r="AV65" s="281">
        <v>1259.3893385276619</v>
      </c>
      <c r="AW65" s="281"/>
      <c r="AX65" s="281">
        <v>1274.8643044280293</v>
      </c>
      <c r="AY65" s="281">
        <v>2517.4258329889499</v>
      </c>
      <c r="AZ65" s="281">
        <v>7462.1240056966499</v>
      </c>
      <c r="BA65" s="281"/>
      <c r="BB65" s="281"/>
      <c r="BC65" s="281"/>
      <c r="BD65" s="281"/>
      <c r="BE65" s="281"/>
      <c r="BF65" s="281"/>
      <c r="BG65" s="281"/>
      <c r="BH65" s="281"/>
      <c r="BI65" s="281"/>
      <c r="BJ65" s="281"/>
      <c r="BK65" s="281"/>
      <c r="BL65" s="281"/>
      <c r="BM65" s="281"/>
      <c r="BN65" s="281"/>
      <c r="BO65" s="281"/>
      <c r="BP65" s="281"/>
      <c r="BQ65" s="281"/>
      <c r="BR65" s="281"/>
      <c r="BS65" s="281"/>
      <c r="BT65" s="281"/>
      <c r="BU65" s="281"/>
      <c r="BV65" s="281"/>
      <c r="BW65" s="281"/>
      <c r="BX65" s="281"/>
      <c r="BY65" s="281"/>
      <c r="BZ65" s="281"/>
      <c r="CA65" s="281"/>
      <c r="CB65" s="281"/>
      <c r="CC65" s="281"/>
      <c r="CD65" s="281"/>
      <c r="CE65" s="281"/>
      <c r="CF65" s="281"/>
      <c r="CG65" s="281"/>
      <c r="CH65" s="281"/>
      <c r="CI65" s="281"/>
      <c r="CJ65" s="281"/>
      <c r="CK65" s="281"/>
      <c r="CL65" s="281"/>
      <c r="CM65" s="281"/>
      <c r="CN65" s="281"/>
      <c r="CO65" s="281"/>
      <c r="CP65" s="281"/>
      <c r="CQ65" s="281"/>
      <c r="CR65" s="281"/>
      <c r="CS65" s="281"/>
      <c r="CT65" s="281"/>
      <c r="CU65" s="281"/>
      <c r="CV65" s="281"/>
      <c r="CW65" s="281"/>
      <c r="CX65" s="281"/>
      <c r="CY65" s="281"/>
      <c r="CZ65" s="281"/>
      <c r="DA65" s="281"/>
      <c r="DB65" s="281"/>
      <c r="DC65" s="281"/>
      <c r="DD65" s="281"/>
      <c r="DE65" s="281"/>
      <c r="DF65" s="281"/>
      <c r="DG65" s="281"/>
      <c r="DH65" s="281"/>
      <c r="DI65" s="281"/>
      <c r="DJ65" s="281"/>
      <c r="DK65" s="281"/>
      <c r="DL65" s="281">
        <v>34.829001052571044</v>
      </c>
      <c r="DM65" s="281">
        <v>58.853650238190419</v>
      </c>
      <c r="DN65" s="281">
        <v>156.9220969018518</v>
      </c>
      <c r="DO65" s="281">
        <v>143.23612508175134</v>
      </c>
      <c r="DP65" s="281">
        <v>137.44698836436734</v>
      </c>
      <c r="DQ65" s="281">
        <v>131.53390955662664</v>
      </c>
      <c r="DR65" s="281">
        <v>83.611334154648347</v>
      </c>
      <c r="DS65" s="281">
        <v>22.620718017709461</v>
      </c>
      <c r="DT65" s="281">
        <v>12.736295736659008</v>
      </c>
      <c r="DU65" s="281"/>
      <c r="DV65" s="281"/>
      <c r="DW65" s="281"/>
      <c r="DX65" s="281">
        <v>18.468538244728009</v>
      </c>
      <c r="DY65" s="281">
        <v>50.408896882690875</v>
      </c>
      <c r="DZ65" s="281"/>
      <c r="EA65" s="281"/>
      <c r="EB65" s="281"/>
      <c r="EC65" s="281"/>
      <c r="ED65" s="281"/>
      <c r="EE65" s="281"/>
      <c r="EF65" s="281"/>
      <c r="EG65" s="281"/>
      <c r="EH65" s="281"/>
      <c r="EI65" s="281"/>
      <c r="EJ65" s="281">
        <v>1138.9734354472084</v>
      </c>
      <c r="EK65" s="281">
        <v>51726.409795407199</v>
      </c>
      <c r="EL65" s="281">
        <v>119855.02150316469</v>
      </c>
    </row>
    <row r="66" spans="1:142" x14ac:dyDescent="0.25">
      <c r="A66" s="279" t="s">
        <v>1595</v>
      </c>
      <c r="B66" s="281"/>
      <c r="C66" s="281"/>
      <c r="D66" s="281"/>
      <c r="E66" s="281"/>
      <c r="F66" s="281"/>
      <c r="G66" s="281"/>
      <c r="H66" s="281"/>
      <c r="I66" s="281"/>
      <c r="J66" s="281"/>
      <c r="K66" s="281"/>
      <c r="L66" s="281"/>
      <c r="M66" s="281"/>
      <c r="N66" s="281"/>
      <c r="O66" s="281"/>
      <c r="P66" s="281"/>
      <c r="Q66" s="281"/>
      <c r="R66" s="281"/>
      <c r="S66" s="281"/>
      <c r="T66" s="281"/>
      <c r="U66" s="281">
        <v>79901.8859675555</v>
      </c>
      <c r="V66" s="281"/>
      <c r="W66" s="281"/>
      <c r="X66" s="281"/>
      <c r="Y66" s="281"/>
      <c r="Z66" s="281"/>
      <c r="AA66" s="281"/>
      <c r="AB66" s="281"/>
      <c r="AC66" s="281"/>
      <c r="AD66" s="281"/>
      <c r="AE66" s="281"/>
      <c r="AF66" s="281"/>
      <c r="AG66" s="281"/>
      <c r="AH66" s="281"/>
      <c r="AI66" s="281"/>
      <c r="AJ66" s="281"/>
      <c r="AK66" s="281"/>
      <c r="AL66" s="478"/>
      <c r="AM66" s="281"/>
      <c r="AN66" s="281"/>
      <c r="AO66" s="281"/>
      <c r="AP66" s="281"/>
      <c r="AQ66" s="281"/>
      <c r="AR66" s="281"/>
      <c r="AS66" s="281"/>
      <c r="AT66" s="281"/>
      <c r="AU66" s="281"/>
      <c r="AV66" s="281"/>
      <c r="AW66" s="281"/>
      <c r="AX66" s="281"/>
      <c r="AY66" s="281"/>
      <c r="AZ66" s="281"/>
      <c r="BA66" s="281"/>
      <c r="BB66" s="281"/>
      <c r="BC66" s="281"/>
      <c r="BD66" s="281"/>
      <c r="BE66" s="281"/>
      <c r="BF66" s="281"/>
      <c r="BG66" s="281"/>
      <c r="BH66" s="281"/>
      <c r="BI66" s="281"/>
      <c r="BJ66" s="281"/>
      <c r="BK66" s="281"/>
      <c r="BL66" s="281"/>
      <c r="BM66" s="281"/>
      <c r="BN66" s="281"/>
      <c r="BO66" s="281"/>
      <c r="BP66" s="281"/>
      <c r="BQ66" s="281"/>
      <c r="BR66" s="281"/>
      <c r="BS66" s="281"/>
      <c r="BT66" s="281"/>
      <c r="BU66" s="281"/>
      <c r="BV66" s="281"/>
      <c r="BW66" s="281"/>
      <c r="BX66" s="281"/>
      <c r="BY66" s="281"/>
      <c r="BZ66" s="281"/>
      <c r="CA66" s="281"/>
      <c r="CB66" s="281"/>
      <c r="CC66" s="281"/>
      <c r="CD66" s="281"/>
      <c r="CE66" s="281"/>
      <c r="CF66" s="281"/>
      <c r="CG66" s="281"/>
      <c r="CH66" s="281"/>
      <c r="CI66" s="281"/>
      <c r="CJ66" s="281"/>
      <c r="CK66" s="281"/>
      <c r="CL66" s="281"/>
      <c r="CM66" s="281"/>
      <c r="CN66" s="281"/>
      <c r="CO66" s="281"/>
      <c r="CP66" s="281"/>
      <c r="CQ66" s="281"/>
      <c r="CR66" s="281"/>
      <c r="CS66" s="281"/>
      <c r="CT66" s="281"/>
      <c r="CU66" s="281"/>
      <c r="CV66" s="281"/>
      <c r="CW66" s="281"/>
      <c r="CX66" s="281"/>
      <c r="CY66" s="281"/>
      <c r="CZ66" s="281"/>
      <c r="DA66" s="281"/>
      <c r="DB66" s="281"/>
      <c r="DC66" s="281"/>
      <c r="DD66" s="281"/>
      <c r="DE66" s="281"/>
      <c r="DF66" s="281"/>
      <c r="DG66" s="281"/>
      <c r="DH66" s="281"/>
      <c r="DI66" s="281"/>
      <c r="DJ66" s="281"/>
      <c r="DK66" s="281"/>
      <c r="DL66" s="281"/>
      <c r="DM66" s="281"/>
      <c r="DN66" s="281"/>
      <c r="DO66" s="281"/>
      <c r="DP66" s="281"/>
      <c r="DQ66" s="281"/>
      <c r="DR66" s="281"/>
      <c r="DS66" s="281"/>
      <c r="DT66" s="281"/>
      <c r="DU66" s="281"/>
      <c r="DV66" s="281"/>
      <c r="DW66" s="281"/>
      <c r="DX66" s="281"/>
      <c r="DY66" s="281"/>
      <c r="DZ66" s="281"/>
      <c r="EA66" s="281"/>
      <c r="EB66" s="281"/>
      <c r="EC66" s="281"/>
      <c r="ED66" s="281"/>
      <c r="EE66" s="281"/>
      <c r="EF66" s="281"/>
      <c r="EG66" s="281"/>
      <c r="EH66" s="281"/>
      <c r="EI66" s="281"/>
      <c r="EJ66" s="281"/>
      <c r="EK66" s="281"/>
      <c r="EL66" s="281">
        <v>79901.8859675555</v>
      </c>
    </row>
    <row r="67" spans="1:142" x14ac:dyDescent="0.25">
      <c r="A67" s="279" t="s">
        <v>1594</v>
      </c>
      <c r="B67" s="281"/>
      <c r="C67" s="281"/>
      <c r="D67" s="281"/>
      <c r="E67" s="281">
        <v>7.3324107728828025</v>
      </c>
      <c r="F67" s="281">
        <v>2.6880387777059132</v>
      </c>
      <c r="G67" s="281">
        <v>18.523831109825259</v>
      </c>
      <c r="H67" s="281">
        <v>5.1615145910580278</v>
      </c>
      <c r="I67" s="281">
        <v>0.31562659244426367</v>
      </c>
      <c r="J67" s="281">
        <v>0.37857815608373463</v>
      </c>
      <c r="K67" s="281">
        <v>1.0012423554607294E-2</v>
      </c>
      <c r="L67" s="281">
        <v>418.12860929229953</v>
      </c>
      <c r="M67" s="281">
        <v>0.17539070770044751</v>
      </c>
      <c r="N67" s="281">
        <v>2.1437284144423732</v>
      </c>
      <c r="O67" s="281"/>
      <c r="P67" s="281"/>
      <c r="Q67" s="281"/>
      <c r="R67" s="281">
        <v>50.67482324118405</v>
      </c>
      <c r="S67" s="281">
        <v>599.37184000000002</v>
      </c>
      <c r="T67" s="281">
        <v>30.862044037113858</v>
      </c>
      <c r="U67" s="281">
        <v>7357.4719999996732</v>
      </c>
      <c r="V67" s="281">
        <v>1199.4671118524896</v>
      </c>
      <c r="W67" s="281">
        <v>635.9787288526453</v>
      </c>
      <c r="X67" s="281"/>
      <c r="Y67" s="281">
        <v>97.824146871310603</v>
      </c>
      <c r="Z67" s="281">
        <v>245.42761677525013</v>
      </c>
      <c r="AA67" s="281">
        <v>2034.6043832247501</v>
      </c>
      <c r="AB67" s="281">
        <v>2265.4549818440819</v>
      </c>
      <c r="AC67" s="281">
        <v>331.61599999999999</v>
      </c>
      <c r="AD67" s="281">
        <v>165.93701815591868</v>
      </c>
      <c r="AE67" s="281">
        <v>45.757632151925002</v>
      </c>
      <c r="AF67" s="281"/>
      <c r="AG67" s="281">
        <v>0.67512388505470622</v>
      </c>
      <c r="AH67" s="281">
        <v>11.67441744771922</v>
      </c>
      <c r="AI67" s="281">
        <v>2.0125006447974457E-2</v>
      </c>
      <c r="AJ67" s="281">
        <v>0.43679572896375746</v>
      </c>
      <c r="AK67" s="281">
        <v>481.90949591571336</v>
      </c>
      <c r="AL67" s="479">
        <v>410.04799999999994</v>
      </c>
      <c r="AM67" s="281">
        <v>2.1631654333537146E-2</v>
      </c>
      <c r="AN67" s="281">
        <v>1132.9978141714357</v>
      </c>
      <c r="AO67" s="281"/>
      <c r="AP67" s="281">
        <v>1.8169680682982151E-2</v>
      </c>
      <c r="AQ67" s="281"/>
      <c r="AR67" s="281"/>
      <c r="AS67" s="281">
        <v>0.11365940628140399</v>
      </c>
      <c r="AT67" s="281"/>
      <c r="AU67" s="281"/>
      <c r="AV67" s="281">
        <v>0.67695899492310641</v>
      </c>
      <c r="AW67" s="281"/>
      <c r="AX67" s="281">
        <v>0.68527724650893396</v>
      </c>
      <c r="AY67" s="281">
        <v>1.3531907961727052</v>
      </c>
      <c r="AZ67" s="281">
        <v>4.0111122210973313</v>
      </c>
      <c r="BA67" s="281"/>
      <c r="BB67" s="281"/>
      <c r="BC67" s="281"/>
      <c r="BD67" s="281"/>
      <c r="BE67" s="281"/>
      <c r="BF67" s="281"/>
      <c r="BG67" s="281"/>
      <c r="BH67" s="281"/>
      <c r="BI67" s="281"/>
      <c r="BJ67" s="281"/>
      <c r="BK67" s="281"/>
      <c r="BL67" s="281"/>
      <c r="BM67" s="281"/>
      <c r="BN67" s="281"/>
      <c r="BO67" s="281"/>
      <c r="BP67" s="281"/>
      <c r="BQ67" s="281"/>
      <c r="BR67" s="281"/>
      <c r="BS67" s="281"/>
      <c r="BT67" s="281"/>
      <c r="BU67" s="281"/>
      <c r="BV67" s="281"/>
      <c r="BW67" s="281"/>
      <c r="BX67" s="281"/>
      <c r="BY67" s="281"/>
      <c r="BZ67" s="281"/>
      <c r="CA67" s="281"/>
      <c r="CB67" s="281"/>
      <c r="CC67" s="281"/>
      <c r="CD67" s="281"/>
      <c r="CE67" s="281"/>
      <c r="CF67" s="281"/>
      <c r="CG67" s="281"/>
      <c r="CH67" s="281"/>
      <c r="CI67" s="281"/>
      <c r="CJ67" s="281"/>
      <c r="CK67" s="281"/>
      <c r="CL67" s="281"/>
      <c r="CM67" s="281"/>
      <c r="CN67" s="281"/>
      <c r="CO67" s="281"/>
      <c r="CP67" s="281"/>
      <c r="CQ67" s="281"/>
      <c r="CR67" s="281"/>
      <c r="CS67" s="281"/>
      <c r="CT67" s="281"/>
      <c r="CU67" s="281"/>
      <c r="CV67" s="281"/>
      <c r="CW67" s="281"/>
      <c r="CX67" s="281"/>
      <c r="CY67" s="281"/>
      <c r="CZ67" s="281"/>
      <c r="DA67" s="281"/>
      <c r="DB67" s="281"/>
      <c r="DC67" s="281"/>
      <c r="DD67" s="281"/>
      <c r="DE67" s="281"/>
      <c r="DF67" s="281"/>
      <c r="DG67" s="281"/>
      <c r="DH67" s="281"/>
      <c r="DI67" s="281"/>
      <c r="DJ67" s="281"/>
      <c r="DK67" s="281"/>
      <c r="DL67" s="281"/>
      <c r="DM67" s="281"/>
      <c r="DN67" s="281"/>
      <c r="DO67" s="281"/>
      <c r="DP67" s="281"/>
      <c r="DQ67" s="281"/>
      <c r="DR67" s="281"/>
      <c r="DS67" s="281"/>
      <c r="DT67" s="281"/>
      <c r="DU67" s="281"/>
      <c r="DV67" s="281"/>
      <c r="DW67" s="281"/>
      <c r="DX67" s="281"/>
      <c r="DY67" s="281"/>
      <c r="DZ67" s="281"/>
      <c r="EA67" s="281"/>
      <c r="EB67" s="281"/>
      <c r="EC67" s="281"/>
      <c r="ED67" s="281"/>
      <c r="EE67" s="281"/>
      <c r="EF67" s="281"/>
      <c r="EG67" s="281"/>
      <c r="EH67" s="281"/>
      <c r="EI67" s="281"/>
      <c r="EJ67" s="281"/>
      <c r="EK67" s="281">
        <v>1.6955248535156249</v>
      </c>
      <c r="EL67" s="281">
        <v>17561.643364853189</v>
      </c>
    </row>
    <row r="68" spans="1:142" x14ac:dyDescent="0.25">
      <c r="A68" s="279" t="s">
        <v>1593</v>
      </c>
      <c r="B68" s="281"/>
      <c r="C68" s="281"/>
      <c r="D68" s="281"/>
      <c r="E68" s="281"/>
      <c r="F68" s="281"/>
      <c r="G68" s="281"/>
      <c r="H68" s="281"/>
      <c r="I68" s="281"/>
      <c r="J68" s="281"/>
      <c r="K68" s="281"/>
      <c r="L68" s="281"/>
      <c r="M68" s="281"/>
      <c r="N68" s="281"/>
      <c r="O68" s="281"/>
      <c r="P68" s="281"/>
      <c r="Q68" s="281"/>
      <c r="R68" s="281"/>
      <c r="S68" s="281"/>
      <c r="T68" s="281"/>
      <c r="U68" s="281"/>
      <c r="V68" s="281"/>
      <c r="W68" s="281"/>
      <c r="X68" s="281"/>
      <c r="Y68" s="281"/>
      <c r="Z68" s="281"/>
      <c r="AA68" s="281"/>
      <c r="AB68" s="281"/>
      <c r="AC68" s="281"/>
      <c r="AD68" s="281"/>
      <c r="AE68" s="281"/>
      <c r="AF68" s="281"/>
      <c r="AG68" s="281"/>
      <c r="AH68" s="281"/>
      <c r="AI68" s="281"/>
      <c r="AJ68" s="281"/>
      <c r="AK68" s="281"/>
      <c r="AL68" s="478"/>
      <c r="AM68" s="281"/>
      <c r="AN68" s="281"/>
      <c r="AO68" s="281"/>
      <c r="AP68" s="281"/>
      <c r="AQ68" s="281"/>
      <c r="AR68" s="281"/>
      <c r="AS68" s="281"/>
      <c r="AT68" s="281"/>
      <c r="AU68" s="281">
        <v>1</v>
      </c>
      <c r="AV68" s="281"/>
      <c r="AW68" s="281"/>
      <c r="AX68" s="281"/>
      <c r="AY68" s="281"/>
      <c r="AZ68" s="281"/>
      <c r="BA68" s="281"/>
      <c r="BB68" s="281"/>
      <c r="BC68" s="281"/>
      <c r="BD68" s="281"/>
      <c r="BE68" s="281"/>
      <c r="BF68" s="281"/>
      <c r="BG68" s="281"/>
      <c r="BH68" s="281"/>
      <c r="BI68" s="281"/>
      <c r="BJ68" s="281"/>
      <c r="BK68" s="281"/>
      <c r="BL68" s="281"/>
      <c r="BM68" s="281"/>
      <c r="BN68" s="281"/>
      <c r="BO68" s="281"/>
      <c r="BP68" s="281"/>
      <c r="BQ68" s="281"/>
      <c r="BR68" s="281"/>
      <c r="BS68" s="281"/>
      <c r="BT68" s="281"/>
      <c r="BU68" s="281"/>
      <c r="BV68" s="281"/>
      <c r="BW68" s="281"/>
      <c r="BX68" s="281"/>
      <c r="BY68" s="281"/>
      <c r="BZ68" s="281"/>
      <c r="CA68" s="281"/>
      <c r="CB68" s="281"/>
      <c r="CC68" s="281"/>
      <c r="CD68" s="281"/>
      <c r="CE68" s="281"/>
      <c r="CF68" s="281"/>
      <c r="CG68" s="281"/>
      <c r="CH68" s="281"/>
      <c r="CI68" s="281"/>
      <c r="CJ68" s="281"/>
      <c r="CK68" s="281"/>
      <c r="CL68" s="281"/>
      <c r="CM68" s="281"/>
      <c r="CN68" s="281"/>
      <c r="CO68" s="281"/>
      <c r="CP68" s="281"/>
      <c r="CQ68" s="281"/>
      <c r="CR68" s="281"/>
      <c r="CS68" s="281"/>
      <c r="CT68" s="281"/>
      <c r="CU68" s="281"/>
      <c r="CV68" s="281"/>
      <c r="CW68" s="281"/>
      <c r="CX68" s="281"/>
      <c r="CY68" s="281"/>
      <c r="CZ68" s="281"/>
      <c r="DA68" s="281"/>
      <c r="DB68" s="281"/>
      <c r="DC68" s="281"/>
      <c r="DD68" s="281"/>
      <c r="DE68" s="281"/>
      <c r="DF68" s="281"/>
      <c r="DG68" s="281"/>
      <c r="DH68" s="281"/>
      <c r="DI68" s="281"/>
      <c r="DJ68" s="281"/>
      <c r="DK68" s="281"/>
      <c r="DL68" s="281"/>
      <c r="DM68" s="281"/>
      <c r="DN68" s="281"/>
      <c r="DO68" s="281"/>
      <c r="DP68" s="281"/>
      <c r="DQ68" s="281"/>
      <c r="DR68" s="281"/>
      <c r="DS68" s="281"/>
      <c r="DT68" s="281"/>
      <c r="DU68" s="281"/>
      <c r="DV68" s="281"/>
      <c r="DW68" s="281"/>
      <c r="DX68" s="281"/>
      <c r="DY68" s="281"/>
      <c r="DZ68" s="281"/>
      <c r="EA68" s="281"/>
      <c r="EB68" s="281"/>
      <c r="EC68" s="281"/>
      <c r="ED68" s="281"/>
      <c r="EE68" s="281"/>
      <c r="EF68" s="281"/>
      <c r="EG68" s="281"/>
      <c r="EH68" s="281"/>
      <c r="EI68" s="281"/>
      <c r="EJ68" s="281"/>
      <c r="EK68" s="281"/>
      <c r="EL68" s="281">
        <v>1</v>
      </c>
    </row>
    <row r="69" spans="1:142" x14ac:dyDescent="0.25">
      <c r="A69" s="279" t="s">
        <v>1592</v>
      </c>
      <c r="B69" s="281">
        <v>9886.1109202205243</v>
      </c>
      <c r="C69" s="281">
        <v>1046.9189324965855</v>
      </c>
      <c r="D69" s="281">
        <v>109.67099595965833</v>
      </c>
      <c r="E69" s="281">
        <v>3.2404717141586641</v>
      </c>
      <c r="F69" s="281"/>
      <c r="G69" s="281"/>
      <c r="H69" s="281">
        <v>0.71061338575284771</v>
      </c>
      <c r="I69" s="281">
        <v>4.6893469010038775E-2</v>
      </c>
      <c r="J69" s="281">
        <v>5.6246347599260657E-2</v>
      </c>
      <c r="K69" s="281">
        <v>1.1787414449050038E-2</v>
      </c>
      <c r="L69" s="281">
        <v>54794.726807006555</v>
      </c>
      <c r="M69" s="281">
        <v>5996.7530248382182</v>
      </c>
      <c r="N69" s="281">
        <v>27.767171342603092</v>
      </c>
      <c r="O69" s="281">
        <v>4.0558108927281324</v>
      </c>
      <c r="P69" s="281">
        <v>271.42126808225959</v>
      </c>
      <c r="Q69" s="281"/>
      <c r="R69" s="281">
        <v>1.8768236284844901</v>
      </c>
      <c r="S69" s="281">
        <v>331.18531103035821</v>
      </c>
      <c r="T69" s="281"/>
      <c r="U69" s="281">
        <v>2.4615930498404257E-2</v>
      </c>
      <c r="V69" s="281">
        <v>1412.1072573786953</v>
      </c>
      <c r="W69" s="281">
        <v>3209.7683243070956</v>
      </c>
      <c r="X69" s="281"/>
      <c r="Y69" s="281">
        <v>9.8207305300825221E-2</v>
      </c>
      <c r="Z69" s="281"/>
      <c r="AA69" s="281">
        <v>93.424705872181747</v>
      </c>
      <c r="AB69" s="281"/>
      <c r="AC69" s="281"/>
      <c r="AD69" s="281"/>
      <c r="AE69" s="281">
        <v>15.822519570685953</v>
      </c>
      <c r="AF69" s="281"/>
      <c r="AG69" s="281"/>
      <c r="AH69" s="281"/>
      <c r="AI69" s="281"/>
      <c r="AJ69" s="281"/>
      <c r="AK69" s="281">
        <v>1721.6012440349305</v>
      </c>
      <c r="AL69" s="478">
        <v>219.13109528992584</v>
      </c>
      <c r="AM69" s="281"/>
      <c r="AN69" s="281"/>
      <c r="AO69" s="281">
        <v>1702.6741629636756</v>
      </c>
      <c r="AP69" s="281">
        <v>4484.465327129089</v>
      </c>
      <c r="AQ69" s="281">
        <v>2.6595327930454298</v>
      </c>
      <c r="AR69" s="281">
        <v>34.810605634170741</v>
      </c>
      <c r="AS69" s="281">
        <v>30.792851017902848</v>
      </c>
      <c r="AT69" s="281">
        <v>36.32927345470393</v>
      </c>
      <c r="AU69" s="281">
        <v>113.66324203993864</v>
      </c>
      <c r="AV69" s="281">
        <v>183.39389330512333</v>
      </c>
      <c r="AW69" s="281"/>
      <c r="AX69" s="281">
        <v>6846.3505225621693</v>
      </c>
      <c r="AY69" s="281">
        <v>2969.8808029066604</v>
      </c>
      <c r="AZ69" s="281">
        <v>7458.5429210849134</v>
      </c>
      <c r="BA69" s="281"/>
      <c r="BB69" s="281"/>
      <c r="BC69" s="281"/>
      <c r="BD69" s="281"/>
      <c r="BE69" s="281"/>
      <c r="BF69" s="281"/>
      <c r="BG69" s="281"/>
      <c r="BH69" s="281"/>
      <c r="BI69" s="281"/>
      <c r="BJ69" s="281"/>
      <c r="BK69" s="281"/>
      <c r="BL69" s="281"/>
      <c r="BM69" s="281"/>
      <c r="BN69" s="281"/>
      <c r="BO69" s="281"/>
      <c r="BP69" s="281"/>
      <c r="BQ69" s="281"/>
      <c r="BR69" s="281"/>
      <c r="BS69" s="281"/>
      <c r="BT69" s="281"/>
      <c r="BU69" s="281"/>
      <c r="BV69" s="281"/>
      <c r="BW69" s="281"/>
      <c r="BX69" s="281"/>
      <c r="BY69" s="281"/>
      <c r="BZ69" s="281"/>
      <c r="CA69" s="281"/>
      <c r="CB69" s="281"/>
      <c r="CC69" s="281"/>
      <c r="CD69" s="281"/>
      <c r="CE69" s="281"/>
      <c r="CF69" s="281"/>
      <c r="CG69" s="281"/>
      <c r="CH69" s="281"/>
      <c r="CI69" s="281"/>
      <c r="CJ69" s="281"/>
      <c r="CK69" s="281"/>
      <c r="CL69" s="281"/>
      <c r="CM69" s="281"/>
      <c r="CN69" s="281"/>
      <c r="CO69" s="281"/>
      <c r="CP69" s="281"/>
      <c r="CQ69" s="281"/>
      <c r="CR69" s="281"/>
      <c r="CS69" s="281"/>
      <c r="CT69" s="281"/>
      <c r="CU69" s="281"/>
      <c r="CV69" s="281"/>
      <c r="CW69" s="281"/>
      <c r="CX69" s="281"/>
      <c r="CY69" s="281"/>
      <c r="CZ69" s="281"/>
      <c r="DA69" s="281"/>
      <c r="DB69" s="281"/>
      <c r="DC69" s="281"/>
      <c r="DD69" s="281"/>
      <c r="DE69" s="281"/>
      <c r="DF69" s="281"/>
      <c r="DG69" s="281"/>
      <c r="DH69" s="281"/>
      <c r="DI69" s="281"/>
      <c r="DJ69" s="281"/>
      <c r="DK69" s="281"/>
      <c r="DL69" s="281">
        <v>16555.524281731879</v>
      </c>
      <c r="DM69" s="281">
        <v>20056.984656949557</v>
      </c>
      <c r="DN69" s="281">
        <v>22745.853964017137</v>
      </c>
      <c r="DO69" s="281">
        <v>23895.280329553185</v>
      </c>
      <c r="DP69" s="281">
        <v>23699.588113381611</v>
      </c>
      <c r="DQ69" s="281">
        <v>25424.884814570691</v>
      </c>
      <c r="DR69" s="281">
        <v>27220.738371132487</v>
      </c>
      <c r="DS69" s="281">
        <v>28393.316440783576</v>
      </c>
      <c r="DT69" s="281">
        <v>39134.743492840556</v>
      </c>
      <c r="DU69" s="281">
        <v>8636.1383632831294</v>
      </c>
      <c r="DV69" s="281">
        <v>9189.6393650824775</v>
      </c>
      <c r="DW69" s="281">
        <v>9537.3853426227051</v>
      </c>
      <c r="DX69" s="281">
        <v>11025.03100193247</v>
      </c>
      <c r="DY69" s="281">
        <v>13573.795121911906</v>
      </c>
      <c r="DZ69" s="281"/>
      <c r="EA69" s="281"/>
      <c r="EB69" s="281"/>
      <c r="EC69" s="281"/>
      <c r="ED69" s="281"/>
      <c r="EE69" s="281"/>
      <c r="EF69" s="281"/>
      <c r="EG69" s="281"/>
      <c r="EH69" s="281"/>
      <c r="EI69" s="281"/>
      <c r="EJ69" s="281">
        <v>4885.7729679855565</v>
      </c>
      <c r="EK69" s="281">
        <v>28462.364944513407</v>
      </c>
      <c r="EL69" s="281">
        <v>415447.13575470191</v>
      </c>
    </row>
    <row r="70" spans="1:142" x14ac:dyDescent="0.25">
      <c r="A70" s="279" t="s">
        <v>1591</v>
      </c>
      <c r="B70" s="281"/>
      <c r="C70" s="281"/>
      <c r="D70" s="281"/>
      <c r="E70" s="281">
        <v>510.88401411766381</v>
      </c>
      <c r="F70" s="281">
        <v>31.42222042311074</v>
      </c>
      <c r="G70" s="281">
        <v>142.51224280405307</v>
      </c>
      <c r="H70" s="281">
        <v>153.08791350195284</v>
      </c>
      <c r="I70" s="281">
        <v>10.102291163583748</v>
      </c>
      <c r="J70" s="281">
        <v>12.117188007870119</v>
      </c>
      <c r="K70" s="281">
        <v>2.8440429530388276E-5</v>
      </c>
      <c r="L70" s="281">
        <v>509.88789994793041</v>
      </c>
      <c r="M70" s="281">
        <v>12545.465816950144</v>
      </c>
      <c r="N70" s="281"/>
      <c r="O70" s="281"/>
      <c r="P70" s="281"/>
      <c r="Q70" s="281"/>
      <c r="R70" s="281"/>
      <c r="S70" s="281"/>
      <c r="T70" s="281"/>
      <c r="U70" s="281"/>
      <c r="V70" s="281">
        <v>3.407103153657693</v>
      </c>
      <c r="W70" s="281">
        <v>0.59932003602470352</v>
      </c>
      <c r="X70" s="281"/>
      <c r="Y70" s="281"/>
      <c r="Z70" s="281"/>
      <c r="AA70" s="281"/>
      <c r="AB70" s="281"/>
      <c r="AC70" s="281"/>
      <c r="AD70" s="281"/>
      <c r="AE70" s="281"/>
      <c r="AF70" s="281"/>
      <c r="AG70" s="281"/>
      <c r="AH70" s="281"/>
      <c r="AI70" s="281"/>
      <c r="AJ70" s="281"/>
      <c r="AK70" s="281">
        <v>8.266947644782654</v>
      </c>
      <c r="AL70" s="478"/>
      <c r="AM70" s="281"/>
      <c r="AN70" s="281"/>
      <c r="AO70" s="281"/>
      <c r="AP70" s="281">
        <v>16089.367132772255</v>
      </c>
      <c r="AQ70" s="281">
        <v>48.594360192143</v>
      </c>
      <c r="AR70" s="281">
        <v>636.04028800072069</v>
      </c>
      <c r="AS70" s="281">
        <v>562.64335040022888</v>
      </c>
      <c r="AT70" s="281">
        <v>663.75271441164455</v>
      </c>
      <c r="AU70" s="281">
        <v>2076.6802707161892</v>
      </c>
      <c r="AV70" s="281">
        <v>3350.6341257113918</v>
      </c>
      <c r="AW70" s="281"/>
      <c r="AX70" s="281">
        <v>3.5870407172227483</v>
      </c>
      <c r="AY70" s="281">
        <v>1859.2816135315807</v>
      </c>
      <c r="AZ70" s="281">
        <v>8199.0355690543947</v>
      </c>
      <c r="BA70" s="281"/>
      <c r="BB70" s="281"/>
      <c r="BC70" s="281"/>
      <c r="BD70" s="281"/>
      <c r="BE70" s="281"/>
      <c r="BF70" s="281"/>
      <c r="BG70" s="281"/>
      <c r="BH70" s="281"/>
      <c r="BI70" s="281"/>
      <c r="BJ70" s="281"/>
      <c r="BK70" s="281"/>
      <c r="BL70" s="281"/>
      <c r="BM70" s="281"/>
      <c r="BN70" s="281"/>
      <c r="BO70" s="281"/>
      <c r="BP70" s="281"/>
      <c r="BQ70" s="281"/>
      <c r="BR70" s="281"/>
      <c r="BS70" s="281"/>
      <c r="BT70" s="281"/>
      <c r="BU70" s="281"/>
      <c r="BV70" s="281"/>
      <c r="BW70" s="281"/>
      <c r="BX70" s="281"/>
      <c r="BY70" s="281"/>
      <c r="BZ70" s="281"/>
      <c r="CA70" s="281"/>
      <c r="CB70" s="281"/>
      <c r="CC70" s="281"/>
      <c r="CD70" s="281"/>
      <c r="CE70" s="281"/>
      <c r="CF70" s="281"/>
      <c r="CG70" s="281"/>
      <c r="CH70" s="281"/>
      <c r="CI70" s="281"/>
      <c r="CJ70" s="281"/>
      <c r="CK70" s="281"/>
      <c r="CL70" s="281"/>
      <c r="CM70" s="281"/>
      <c r="CN70" s="281"/>
      <c r="CO70" s="281"/>
      <c r="CP70" s="281"/>
      <c r="CQ70" s="281"/>
      <c r="CR70" s="281"/>
      <c r="CS70" s="281"/>
      <c r="CT70" s="281"/>
      <c r="CU70" s="281"/>
      <c r="CV70" s="281"/>
      <c r="CW70" s="281"/>
      <c r="CX70" s="281"/>
      <c r="CY70" s="281"/>
      <c r="CZ70" s="281"/>
      <c r="DA70" s="281"/>
      <c r="DB70" s="281"/>
      <c r="DC70" s="281"/>
      <c r="DD70" s="281"/>
      <c r="DE70" s="281"/>
      <c r="DF70" s="281"/>
      <c r="DG70" s="281"/>
      <c r="DH70" s="281"/>
      <c r="DI70" s="281"/>
      <c r="DJ70" s="281"/>
      <c r="DK70" s="281"/>
      <c r="DL70" s="281">
        <v>1946.5416210289968</v>
      </c>
      <c r="DM70" s="281">
        <v>3293.7577300631201</v>
      </c>
      <c r="DN70" s="281">
        <v>5118.4409955109531</v>
      </c>
      <c r="DO70" s="281">
        <v>6478.4476270484911</v>
      </c>
      <c r="DP70" s="281">
        <v>8196.9010481142905</v>
      </c>
      <c r="DQ70" s="281">
        <v>10491.836568202032</v>
      </c>
      <c r="DR70" s="281">
        <v>12636.751023850356</v>
      </c>
      <c r="DS70" s="281">
        <v>14350.585170086519</v>
      </c>
      <c r="DT70" s="281">
        <v>22716.809206946404</v>
      </c>
      <c r="DU70" s="281">
        <v>4904.1755094863056</v>
      </c>
      <c r="DV70" s="281">
        <v>5562.2307728124097</v>
      </c>
      <c r="DW70" s="281">
        <v>5476.1744871223509</v>
      </c>
      <c r="DX70" s="281">
        <v>8938.9296867484663</v>
      </c>
      <c r="DY70" s="281">
        <v>9755.8486220437189</v>
      </c>
      <c r="DZ70" s="281"/>
      <c r="EA70" s="281"/>
      <c r="EB70" s="281"/>
      <c r="EC70" s="281"/>
      <c r="ED70" s="281"/>
      <c r="EE70" s="281"/>
      <c r="EF70" s="281"/>
      <c r="EG70" s="281"/>
      <c r="EH70" s="281"/>
      <c r="EI70" s="281"/>
      <c r="EJ70" s="281">
        <v>2472.7462899288903</v>
      </c>
      <c r="EK70" s="281">
        <v>13913.787371085549</v>
      </c>
      <c r="EL70" s="281">
        <v>183671.33318177788</v>
      </c>
    </row>
    <row r="71" spans="1:142" x14ac:dyDescent="0.25">
      <c r="A71" s="279" t="s">
        <v>1590</v>
      </c>
      <c r="B71" s="281"/>
      <c r="C71" s="281"/>
      <c r="D71" s="281"/>
      <c r="E71" s="281"/>
      <c r="F71" s="281"/>
      <c r="G71" s="281"/>
      <c r="H71" s="281"/>
      <c r="I71" s="281"/>
      <c r="J71" s="281"/>
      <c r="K71" s="281">
        <v>1.6384235510025525E-4</v>
      </c>
      <c r="L71" s="281">
        <v>50.571529665689596</v>
      </c>
      <c r="M71" s="281">
        <v>394.87044213255797</v>
      </c>
      <c r="N71" s="281">
        <v>8368.2333721170889</v>
      </c>
      <c r="O71" s="281">
        <v>18257.525934099398</v>
      </c>
      <c r="P71" s="281">
        <v>23.5926180303012</v>
      </c>
      <c r="Q71" s="281">
        <v>382.67758068076182</v>
      </c>
      <c r="R71" s="281">
        <v>81.330798413189981</v>
      </c>
      <c r="S71" s="281">
        <v>47.722753594238554</v>
      </c>
      <c r="T71" s="281">
        <v>588.99688293786653</v>
      </c>
      <c r="U71" s="281">
        <v>39.70718711255747</v>
      </c>
      <c r="V71" s="281">
        <v>19.627966735464501</v>
      </c>
      <c r="W71" s="281">
        <v>306.58632598927056</v>
      </c>
      <c r="X71" s="281">
        <v>1160.8812145434269</v>
      </c>
      <c r="Y71" s="281">
        <v>142.01961385520656</v>
      </c>
      <c r="Z71" s="281"/>
      <c r="AA71" s="281">
        <v>108.4044590110051</v>
      </c>
      <c r="AB71" s="281"/>
      <c r="AC71" s="281"/>
      <c r="AD71" s="281">
        <v>175.24555713908578</v>
      </c>
      <c r="AE71" s="281">
        <v>49.747835891863119</v>
      </c>
      <c r="AF71" s="281">
        <v>11.613236749484182</v>
      </c>
      <c r="AG71" s="281"/>
      <c r="AH71" s="281">
        <v>1434.9240269663364</v>
      </c>
      <c r="AI71" s="281">
        <v>14.927235308480498</v>
      </c>
      <c r="AJ71" s="281">
        <v>723.76113029625378</v>
      </c>
      <c r="AK71" s="281">
        <v>396.16375280431623</v>
      </c>
      <c r="AL71" s="478"/>
      <c r="AM71" s="281"/>
      <c r="AN71" s="281"/>
      <c r="AO71" s="281"/>
      <c r="AP71" s="281"/>
      <c r="AQ71" s="281">
        <v>5.5439135727666913E-2</v>
      </c>
      <c r="AR71" s="281">
        <v>0.72564274479970536</v>
      </c>
      <c r="AS71" s="281">
        <v>0.64189052760394016</v>
      </c>
      <c r="AT71" s="281">
        <v>0.75730104474727389</v>
      </c>
      <c r="AU71" s="281">
        <v>2.369364530604519</v>
      </c>
      <c r="AV71" s="281">
        <v>3.8229347996501266</v>
      </c>
      <c r="AW71" s="281">
        <v>3.0176353396349502</v>
      </c>
      <c r="AX71" s="281">
        <v>0.41093806568527075</v>
      </c>
      <c r="AY71" s="281">
        <v>26.840991203984142</v>
      </c>
      <c r="AZ71" s="281">
        <v>942.16053754766335</v>
      </c>
      <c r="BA71" s="281"/>
      <c r="BB71" s="281"/>
      <c r="BC71" s="281"/>
      <c r="BD71" s="281"/>
      <c r="BE71" s="281"/>
      <c r="BF71" s="281"/>
      <c r="BG71" s="281"/>
      <c r="BH71" s="281"/>
      <c r="BI71" s="281"/>
      <c r="BJ71" s="281"/>
      <c r="BK71" s="281"/>
      <c r="BL71" s="281"/>
      <c r="BM71" s="281"/>
      <c r="BN71" s="281"/>
      <c r="BO71" s="281"/>
      <c r="BP71" s="281"/>
      <c r="BQ71" s="281"/>
      <c r="BR71" s="281"/>
      <c r="BS71" s="281"/>
      <c r="BT71" s="281"/>
      <c r="BU71" s="281"/>
      <c r="BV71" s="281"/>
      <c r="BW71" s="281"/>
      <c r="BX71" s="281"/>
      <c r="BY71" s="281"/>
      <c r="BZ71" s="281"/>
      <c r="CA71" s="281"/>
      <c r="CB71" s="281"/>
      <c r="CC71" s="281"/>
      <c r="CD71" s="281"/>
      <c r="CE71" s="281"/>
      <c r="CF71" s="281"/>
      <c r="CG71" s="281"/>
      <c r="CH71" s="281"/>
      <c r="CI71" s="281"/>
      <c r="CJ71" s="281"/>
      <c r="CK71" s="281"/>
      <c r="CL71" s="281"/>
      <c r="CM71" s="281"/>
      <c r="CN71" s="281"/>
      <c r="CO71" s="281"/>
      <c r="CP71" s="281"/>
      <c r="CQ71" s="281"/>
      <c r="CR71" s="281"/>
      <c r="CS71" s="281"/>
      <c r="CT71" s="281"/>
      <c r="CU71" s="281"/>
      <c r="CV71" s="281"/>
      <c r="CW71" s="281"/>
      <c r="CX71" s="281"/>
      <c r="CY71" s="281"/>
      <c r="CZ71" s="281"/>
      <c r="DA71" s="281"/>
      <c r="DB71" s="281"/>
      <c r="DC71" s="281"/>
      <c r="DD71" s="281"/>
      <c r="DE71" s="281"/>
      <c r="DF71" s="281"/>
      <c r="DG71" s="281"/>
      <c r="DH71" s="281"/>
      <c r="DI71" s="281"/>
      <c r="DJ71" s="281"/>
      <c r="DK71" s="281"/>
      <c r="DL71" s="281">
        <v>5.2375979614914572</v>
      </c>
      <c r="DM71" s="281">
        <v>21.615476803865015</v>
      </c>
      <c r="DN71" s="281">
        <v>49.388872525051916</v>
      </c>
      <c r="DO71" s="281">
        <v>45.477886847563404</v>
      </c>
      <c r="DP71" s="281">
        <v>69.714073966621157</v>
      </c>
      <c r="DQ71" s="281">
        <v>79.726125947061817</v>
      </c>
      <c r="DR71" s="281">
        <v>54.802315172753069</v>
      </c>
      <c r="DS71" s="281">
        <v>115.52783087464506</v>
      </c>
      <c r="DT71" s="281">
        <v>189.47288423395659</v>
      </c>
      <c r="DU71" s="281">
        <v>33.351724993213068</v>
      </c>
      <c r="DV71" s="281">
        <v>50.027765299518663</v>
      </c>
      <c r="DW71" s="281">
        <v>71.978085085178193</v>
      </c>
      <c r="DX71" s="281">
        <v>124.4556606569822</v>
      </c>
      <c r="DY71" s="281">
        <v>169.01140196239626</v>
      </c>
      <c r="DZ71" s="281"/>
      <c r="EA71" s="281"/>
      <c r="EB71" s="281"/>
      <c r="EC71" s="281"/>
      <c r="ED71" s="281"/>
      <c r="EE71" s="281"/>
      <c r="EF71" s="281"/>
      <c r="EG71" s="281"/>
      <c r="EH71" s="281"/>
      <c r="EI71" s="281"/>
      <c r="EJ71" s="281">
        <v>751.08673178457275</v>
      </c>
      <c r="EK71" s="281">
        <v>1251.8627529960024</v>
      </c>
      <c r="EL71" s="281">
        <v>36842.671479967161</v>
      </c>
    </row>
    <row r="72" spans="1:142" x14ac:dyDescent="0.25">
      <c r="A72" s="279" t="s">
        <v>1589</v>
      </c>
      <c r="B72" s="281">
        <v>2028.0366056948128</v>
      </c>
      <c r="C72" s="281">
        <v>214.30917353139697</v>
      </c>
      <c r="D72" s="281">
        <v>22.711644879508221</v>
      </c>
      <c r="E72" s="281">
        <v>205.07007409888575</v>
      </c>
      <c r="F72" s="281">
        <v>114.87566226637986</v>
      </c>
      <c r="G72" s="281">
        <v>831.70053793615716</v>
      </c>
      <c r="H72" s="281">
        <v>183.4648362233074</v>
      </c>
      <c r="I72" s="281">
        <v>12.106868213233668</v>
      </c>
      <c r="J72" s="281">
        <v>14.521576932476499</v>
      </c>
      <c r="K72" s="281"/>
      <c r="L72" s="281"/>
      <c r="M72" s="281"/>
      <c r="N72" s="281">
        <v>887.12855126054205</v>
      </c>
      <c r="O72" s="281">
        <v>2381.9724477513737</v>
      </c>
      <c r="P72" s="281">
        <v>59.469436431465525</v>
      </c>
      <c r="Q72" s="281">
        <v>137.82181176287745</v>
      </c>
      <c r="R72" s="281"/>
      <c r="S72" s="281">
        <v>842.76287053570184</v>
      </c>
      <c r="T72" s="281"/>
      <c r="U72" s="281"/>
      <c r="V72" s="281"/>
      <c r="W72" s="281">
        <v>985.63363881427779</v>
      </c>
      <c r="X72" s="281"/>
      <c r="Y72" s="281">
        <v>18.901600007964603</v>
      </c>
      <c r="Z72" s="281"/>
      <c r="AA72" s="281"/>
      <c r="AB72" s="281"/>
      <c r="AC72" s="281"/>
      <c r="AD72" s="281">
        <v>0.49836807005081596</v>
      </c>
      <c r="AE72" s="281">
        <v>109.10050590892386</v>
      </c>
      <c r="AF72" s="281">
        <v>37.833084441596199</v>
      </c>
      <c r="AG72" s="281">
        <v>136.0748104760799</v>
      </c>
      <c r="AH72" s="281">
        <v>1373.1450568768669</v>
      </c>
      <c r="AI72" s="281">
        <v>13.230760351409362</v>
      </c>
      <c r="AJ72" s="281">
        <v>55.21820857142945</v>
      </c>
      <c r="AK72" s="281">
        <v>162.85523052421527</v>
      </c>
      <c r="AL72" s="478">
        <v>40.78416175889997</v>
      </c>
      <c r="AM72" s="281"/>
      <c r="AN72" s="281">
        <v>2565.6785993535796</v>
      </c>
      <c r="AO72" s="281">
        <v>1535.4276412308732</v>
      </c>
      <c r="AP72" s="281">
        <v>102.72844868665732</v>
      </c>
      <c r="AQ72" s="281">
        <v>12.061194049067229</v>
      </c>
      <c r="AR72" s="281">
        <v>157.87098669833759</v>
      </c>
      <c r="AS72" s="281">
        <v>139.65054672401311</v>
      </c>
      <c r="AT72" s="281">
        <v>164.76659502140421</v>
      </c>
      <c r="AU72" s="281">
        <v>515.5045391525581</v>
      </c>
      <c r="AV72" s="281">
        <v>831.77033527788808</v>
      </c>
      <c r="AW72" s="281">
        <v>6.4807732853890396</v>
      </c>
      <c r="AX72" s="281">
        <v>256.03858488264621</v>
      </c>
      <c r="AY72" s="281">
        <v>1063.2131674829959</v>
      </c>
      <c r="AZ72" s="281">
        <v>2609.3362922258252</v>
      </c>
      <c r="BA72" s="281"/>
      <c r="BB72" s="281"/>
      <c r="BC72" s="281"/>
      <c r="BD72" s="281"/>
      <c r="BE72" s="281"/>
      <c r="BF72" s="281"/>
      <c r="BG72" s="281"/>
      <c r="BH72" s="281"/>
      <c r="BI72" s="281"/>
      <c r="BJ72" s="281"/>
      <c r="BK72" s="281"/>
      <c r="BL72" s="281"/>
      <c r="BM72" s="281"/>
      <c r="BN72" s="281"/>
      <c r="BO72" s="281"/>
      <c r="BP72" s="281"/>
      <c r="BQ72" s="281"/>
      <c r="BR72" s="281"/>
      <c r="BS72" s="281"/>
      <c r="BT72" s="281"/>
      <c r="BU72" s="281"/>
      <c r="BV72" s="281"/>
      <c r="BW72" s="281"/>
      <c r="BX72" s="281"/>
      <c r="BY72" s="281"/>
      <c r="BZ72" s="281"/>
      <c r="CA72" s="281"/>
      <c r="CB72" s="281"/>
      <c r="CC72" s="281"/>
      <c r="CD72" s="281"/>
      <c r="CE72" s="281"/>
      <c r="CF72" s="281"/>
      <c r="CG72" s="281"/>
      <c r="CH72" s="281"/>
      <c r="CI72" s="281"/>
      <c r="CJ72" s="281"/>
      <c r="CK72" s="281"/>
      <c r="CL72" s="281"/>
      <c r="CM72" s="281"/>
      <c r="CN72" s="281"/>
      <c r="CO72" s="281"/>
      <c r="CP72" s="281"/>
      <c r="CQ72" s="281"/>
      <c r="CR72" s="281"/>
      <c r="CS72" s="281"/>
      <c r="CT72" s="281"/>
      <c r="CU72" s="281"/>
      <c r="CV72" s="281"/>
      <c r="CW72" s="281"/>
      <c r="CX72" s="281"/>
      <c r="CY72" s="281"/>
      <c r="CZ72" s="281"/>
      <c r="DA72" s="281"/>
      <c r="DB72" s="281"/>
      <c r="DC72" s="281"/>
      <c r="DD72" s="281"/>
      <c r="DE72" s="281"/>
      <c r="DF72" s="281"/>
      <c r="DG72" s="281"/>
      <c r="DH72" s="281"/>
      <c r="DI72" s="281"/>
      <c r="DJ72" s="281"/>
      <c r="DK72" s="281"/>
      <c r="DL72" s="281">
        <v>2687.5609544190334</v>
      </c>
      <c r="DM72" s="281">
        <v>3690.4003764959416</v>
      </c>
      <c r="DN72" s="281">
        <v>4661.5372743667667</v>
      </c>
      <c r="DO72" s="281">
        <v>5496.2122013163671</v>
      </c>
      <c r="DP72" s="281">
        <v>5975.2168966409936</v>
      </c>
      <c r="DQ72" s="281">
        <v>6754.9172865966593</v>
      </c>
      <c r="DR72" s="281">
        <v>8298.2489484129565</v>
      </c>
      <c r="DS72" s="281">
        <v>10318.16853559319</v>
      </c>
      <c r="DT72" s="281">
        <v>14249.157498873145</v>
      </c>
      <c r="DU72" s="281">
        <v>3352.9754274612878</v>
      </c>
      <c r="DV72" s="281">
        <v>3271.6765986309174</v>
      </c>
      <c r="DW72" s="281">
        <v>3344.9439232344203</v>
      </c>
      <c r="DX72" s="281">
        <v>5208.8777118393282</v>
      </c>
      <c r="DY72" s="281">
        <v>5540.4055119136519</v>
      </c>
      <c r="DZ72" s="281"/>
      <c r="EA72" s="281"/>
      <c r="EB72" s="281"/>
      <c r="EC72" s="281"/>
      <c r="ED72" s="281"/>
      <c r="EE72" s="281"/>
      <c r="EF72" s="281"/>
      <c r="EG72" s="281"/>
      <c r="EH72" s="281">
        <v>20.860730254039279</v>
      </c>
      <c r="EI72" s="281">
        <v>1.1111884882240612</v>
      </c>
      <c r="EJ72" s="281">
        <v>25.783783007370175</v>
      </c>
      <c r="EK72" s="281">
        <v>5675.8936556490207</v>
      </c>
      <c r="EL72" s="281">
        <v>109403.70373058438</v>
      </c>
    </row>
    <row r="73" spans="1:142" x14ac:dyDescent="0.25">
      <c r="A73" s="279" t="s">
        <v>1588</v>
      </c>
      <c r="B73" s="281"/>
      <c r="C73" s="281"/>
      <c r="D73" s="281"/>
      <c r="E73" s="281">
        <v>79.300555747855526</v>
      </c>
      <c r="F73" s="281">
        <v>17.135111156596562</v>
      </c>
      <c r="G73" s="281">
        <v>132.83645930741284</v>
      </c>
      <c r="H73" s="281">
        <v>21.73874429794957</v>
      </c>
      <c r="I73" s="281">
        <v>1.4345425409810757</v>
      </c>
      <c r="J73" s="281">
        <v>1.7206613225537841</v>
      </c>
      <c r="K73" s="281"/>
      <c r="L73" s="281"/>
      <c r="M73" s="281"/>
      <c r="N73" s="281">
        <v>69.913679674719759</v>
      </c>
      <c r="O73" s="281">
        <v>1101.7257898858188</v>
      </c>
      <c r="P73" s="281">
        <v>339.79497308512498</v>
      </c>
      <c r="Q73" s="281">
        <v>1963.1504637803814</v>
      </c>
      <c r="R73" s="281"/>
      <c r="S73" s="281">
        <v>60.4691494329292</v>
      </c>
      <c r="T73" s="281">
        <v>2.2357282240877385</v>
      </c>
      <c r="U73" s="281"/>
      <c r="V73" s="281"/>
      <c r="W73" s="281"/>
      <c r="X73" s="281"/>
      <c r="Y73" s="281">
        <v>22.490735579301305</v>
      </c>
      <c r="Z73" s="281"/>
      <c r="AA73" s="281"/>
      <c r="AB73" s="281"/>
      <c r="AC73" s="281"/>
      <c r="AD73" s="281"/>
      <c r="AE73" s="281"/>
      <c r="AF73" s="281"/>
      <c r="AG73" s="281"/>
      <c r="AH73" s="281">
        <v>4579.8732370946445</v>
      </c>
      <c r="AI73" s="281"/>
      <c r="AJ73" s="281">
        <v>541.80849889099875</v>
      </c>
      <c r="AK73" s="281">
        <v>43.133963762023185</v>
      </c>
      <c r="AL73" s="478"/>
      <c r="AM73" s="281"/>
      <c r="AN73" s="281"/>
      <c r="AO73" s="281"/>
      <c r="AP73" s="281"/>
      <c r="AQ73" s="281"/>
      <c r="AR73" s="281"/>
      <c r="AS73" s="281"/>
      <c r="AT73" s="281"/>
      <c r="AU73" s="281"/>
      <c r="AV73" s="281"/>
      <c r="AW73" s="281"/>
      <c r="AX73" s="281">
        <v>5.1444673309063306E-2</v>
      </c>
      <c r="AY73" s="281">
        <v>94.511124731933691</v>
      </c>
      <c r="AZ73" s="281">
        <v>324.13375320071145</v>
      </c>
      <c r="BA73" s="281"/>
      <c r="BB73" s="281"/>
      <c r="BC73" s="281"/>
      <c r="BD73" s="281"/>
      <c r="BE73" s="281"/>
      <c r="BF73" s="281"/>
      <c r="BG73" s="281"/>
      <c r="BH73" s="281"/>
      <c r="BI73" s="281"/>
      <c r="BJ73" s="281"/>
      <c r="BK73" s="281"/>
      <c r="BL73" s="281"/>
      <c r="BM73" s="281"/>
      <c r="BN73" s="281"/>
      <c r="BO73" s="281"/>
      <c r="BP73" s="281"/>
      <c r="BQ73" s="281"/>
      <c r="BR73" s="281"/>
      <c r="BS73" s="281"/>
      <c r="BT73" s="281"/>
      <c r="BU73" s="281"/>
      <c r="BV73" s="281"/>
      <c r="BW73" s="281"/>
      <c r="BX73" s="281"/>
      <c r="BY73" s="281"/>
      <c r="BZ73" s="281"/>
      <c r="CA73" s="281"/>
      <c r="CB73" s="281"/>
      <c r="CC73" s="281"/>
      <c r="CD73" s="281"/>
      <c r="CE73" s="281"/>
      <c r="CF73" s="281"/>
      <c r="CG73" s="281"/>
      <c r="CH73" s="281"/>
      <c r="CI73" s="281"/>
      <c r="CJ73" s="281"/>
      <c r="CK73" s="281"/>
      <c r="CL73" s="281"/>
      <c r="CM73" s="281"/>
      <c r="CN73" s="281"/>
      <c r="CO73" s="281"/>
      <c r="CP73" s="281"/>
      <c r="CQ73" s="281"/>
      <c r="CR73" s="281"/>
      <c r="CS73" s="281"/>
      <c r="CT73" s="281"/>
      <c r="CU73" s="281"/>
      <c r="CV73" s="281"/>
      <c r="CW73" s="281"/>
      <c r="CX73" s="281"/>
      <c r="CY73" s="281"/>
      <c r="CZ73" s="281"/>
      <c r="DA73" s="281"/>
      <c r="DB73" s="281"/>
      <c r="DC73" s="281"/>
      <c r="DD73" s="281"/>
      <c r="DE73" s="281"/>
      <c r="DF73" s="281"/>
      <c r="DG73" s="281"/>
      <c r="DH73" s="281"/>
      <c r="DI73" s="281"/>
      <c r="DJ73" s="281"/>
      <c r="DK73" s="281"/>
      <c r="DL73" s="281">
        <v>87.354930661208499</v>
      </c>
      <c r="DM73" s="281">
        <v>131.86302695391834</v>
      </c>
      <c r="DN73" s="281">
        <v>147.76746795077736</v>
      </c>
      <c r="DO73" s="281">
        <v>196.69427882193628</v>
      </c>
      <c r="DP73" s="281">
        <v>223.27030440975722</v>
      </c>
      <c r="DQ73" s="281">
        <v>262.17994616919106</v>
      </c>
      <c r="DR73" s="281">
        <v>293.58115548348837</v>
      </c>
      <c r="DS73" s="281">
        <v>478.51548005208144</v>
      </c>
      <c r="DT73" s="281">
        <v>658.78520367383976</v>
      </c>
      <c r="DU73" s="281">
        <v>147.8947668622238</v>
      </c>
      <c r="DV73" s="281">
        <v>265.81057405437434</v>
      </c>
      <c r="DW73" s="281">
        <v>209.32198298288941</v>
      </c>
      <c r="DX73" s="281">
        <v>299.97492544404309</v>
      </c>
      <c r="DY73" s="281">
        <v>356.94617033261767</v>
      </c>
      <c r="DZ73" s="281"/>
      <c r="EA73" s="281"/>
      <c r="EB73" s="281"/>
      <c r="EC73" s="281"/>
      <c r="ED73" s="281"/>
      <c r="EE73" s="281"/>
      <c r="EF73" s="281"/>
      <c r="EG73" s="281"/>
      <c r="EH73" s="281">
        <v>2.5813131584053298E-2</v>
      </c>
      <c r="EI73" s="281">
        <v>1.3749880426961081E-3</v>
      </c>
      <c r="EJ73" s="281">
        <v>-228.69500610272752</v>
      </c>
      <c r="EK73" s="281">
        <v>1345.0070642363012</v>
      </c>
      <c r="EL73" s="281">
        <v>14273.758076494882</v>
      </c>
    </row>
    <row r="74" spans="1:142" x14ac:dyDescent="0.25">
      <c r="A74" s="279" t="s">
        <v>1587</v>
      </c>
      <c r="B74" s="281"/>
      <c r="C74" s="281"/>
      <c r="D74" s="281"/>
      <c r="E74" s="281">
        <v>62.709991699629597</v>
      </c>
      <c r="F74" s="281">
        <v>115.83218322780114</v>
      </c>
      <c r="G74" s="281">
        <v>810.65288393840626</v>
      </c>
      <c r="H74" s="281">
        <v>146.13121874330562</v>
      </c>
      <c r="I74" s="281">
        <v>9.6432179788993491</v>
      </c>
      <c r="J74" s="281">
        <v>11.56655290954266</v>
      </c>
      <c r="K74" s="281"/>
      <c r="L74" s="281"/>
      <c r="M74" s="281"/>
      <c r="N74" s="281"/>
      <c r="O74" s="281">
        <v>37.220964188166462</v>
      </c>
      <c r="P74" s="281">
        <v>64.986856199034477</v>
      </c>
      <c r="Q74" s="281">
        <v>1167.2682116934116</v>
      </c>
      <c r="R74" s="281"/>
      <c r="S74" s="281"/>
      <c r="T74" s="281"/>
      <c r="U74" s="281"/>
      <c r="V74" s="281"/>
      <c r="W74" s="281"/>
      <c r="X74" s="281"/>
      <c r="Y74" s="281"/>
      <c r="Z74" s="281"/>
      <c r="AA74" s="281"/>
      <c r="AB74" s="281"/>
      <c r="AC74" s="281"/>
      <c r="AD74" s="281"/>
      <c r="AE74" s="281"/>
      <c r="AF74" s="281"/>
      <c r="AG74" s="281"/>
      <c r="AH74" s="281"/>
      <c r="AI74" s="281"/>
      <c r="AJ74" s="281"/>
      <c r="AK74" s="281">
        <v>0.3052282158288589</v>
      </c>
      <c r="AL74" s="478"/>
      <c r="AM74" s="281">
        <v>19.923925830884649</v>
      </c>
      <c r="AN74" s="281">
        <v>697.6703904594674</v>
      </c>
      <c r="AO74" s="281">
        <v>286.37455365090472</v>
      </c>
      <c r="AP74" s="281"/>
      <c r="AQ74" s="281"/>
      <c r="AR74" s="281"/>
      <c r="AS74" s="281"/>
      <c r="AT74" s="281"/>
      <c r="AU74" s="281"/>
      <c r="AV74" s="281"/>
      <c r="AW74" s="281"/>
      <c r="AX74" s="281">
        <v>0.34169914371686999</v>
      </c>
      <c r="AY74" s="281">
        <v>468.11363923113919</v>
      </c>
      <c r="AZ74" s="281">
        <v>924.73703025358805</v>
      </c>
      <c r="BA74" s="281"/>
      <c r="BB74" s="281"/>
      <c r="BC74" s="281"/>
      <c r="BD74" s="281"/>
      <c r="BE74" s="281"/>
      <c r="BF74" s="281"/>
      <c r="BG74" s="281"/>
      <c r="BH74" s="281"/>
      <c r="BI74" s="281"/>
      <c r="BJ74" s="281"/>
      <c r="BK74" s="281"/>
      <c r="BL74" s="281"/>
      <c r="BM74" s="281"/>
      <c r="BN74" s="281"/>
      <c r="BO74" s="281"/>
      <c r="BP74" s="281"/>
      <c r="BQ74" s="281"/>
      <c r="BR74" s="281"/>
      <c r="BS74" s="281"/>
      <c r="BT74" s="281"/>
      <c r="BU74" s="281"/>
      <c r="BV74" s="281"/>
      <c r="BW74" s="281"/>
      <c r="BX74" s="281"/>
      <c r="BY74" s="281"/>
      <c r="BZ74" s="281"/>
      <c r="CA74" s="281"/>
      <c r="CB74" s="281"/>
      <c r="CC74" s="281"/>
      <c r="CD74" s="281"/>
      <c r="CE74" s="281"/>
      <c r="CF74" s="281"/>
      <c r="CG74" s="281"/>
      <c r="CH74" s="281"/>
      <c r="CI74" s="281"/>
      <c r="CJ74" s="281"/>
      <c r="CK74" s="281"/>
      <c r="CL74" s="281"/>
      <c r="CM74" s="281"/>
      <c r="CN74" s="281"/>
      <c r="CO74" s="281"/>
      <c r="CP74" s="281"/>
      <c r="CQ74" s="281"/>
      <c r="CR74" s="281"/>
      <c r="CS74" s="281"/>
      <c r="CT74" s="281"/>
      <c r="CU74" s="281"/>
      <c r="CV74" s="281"/>
      <c r="CW74" s="281"/>
      <c r="CX74" s="281"/>
      <c r="CY74" s="281"/>
      <c r="CZ74" s="281"/>
      <c r="DA74" s="281"/>
      <c r="DB74" s="281"/>
      <c r="DC74" s="281"/>
      <c r="DD74" s="281"/>
      <c r="DE74" s="281"/>
      <c r="DF74" s="281"/>
      <c r="DG74" s="281"/>
      <c r="DH74" s="281"/>
      <c r="DI74" s="281"/>
      <c r="DJ74" s="281"/>
      <c r="DK74" s="281"/>
      <c r="DL74" s="281">
        <v>599.72852371399813</v>
      </c>
      <c r="DM74" s="281">
        <v>848.82749469172575</v>
      </c>
      <c r="DN74" s="281">
        <v>1076.5617005846277</v>
      </c>
      <c r="DO74" s="281">
        <v>1356.8499539912766</v>
      </c>
      <c r="DP74" s="281">
        <v>1484.2537055397531</v>
      </c>
      <c r="DQ74" s="281">
        <v>1719.9506459044349</v>
      </c>
      <c r="DR74" s="281">
        <v>2213.6401831547819</v>
      </c>
      <c r="DS74" s="281">
        <v>2611.7769067437716</v>
      </c>
      <c r="DT74" s="281">
        <v>3328.4230092039525</v>
      </c>
      <c r="DU74" s="281">
        <v>867.93805742399718</v>
      </c>
      <c r="DV74" s="281">
        <v>761.237415502148</v>
      </c>
      <c r="DW74" s="281">
        <v>823.34674438203035</v>
      </c>
      <c r="DX74" s="281">
        <v>1035.1554813313728</v>
      </c>
      <c r="DY74" s="281">
        <v>953.93558971921902</v>
      </c>
      <c r="DZ74" s="281"/>
      <c r="EA74" s="281"/>
      <c r="EB74" s="281"/>
      <c r="EC74" s="281"/>
      <c r="ED74" s="281"/>
      <c r="EE74" s="281"/>
      <c r="EF74" s="281"/>
      <c r="EG74" s="281"/>
      <c r="EH74" s="281"/>
      <c r="EI74" s="281"/>
      <c r="EJ74" s="281">
        <v>186.56853628431335</v>
      </c>
      <c r="EK74" s="281">
        <v>946.75447296642722</v>
      </c>
      <c r="EL74" s="281">
        <v>25638.426968501561</v>
      </c>
    </row>
    <row r="75" spans="1:142" x14ac:dyDescent="0.25">
      <c r="A75" s="279" t="s">
        <v>1586</v>
      </c>
      <c r="B75" s="281">
        <v>1001.0612981684277</v>
      </c>
      <c r="C75" s="281">
        <v>74.704728065745087</v>
      </c>
      <c r="D75" s="281">
        <v>3.7910200967727521</v>
      </c>
      <c r="E75" s="281">
        <v>127.50793310914717</v>
      </c>
      <c r="F75" s="281">
        <v>131.83310646223114</v>
      </c>
      <c r="G75" s="281">
        <v>975.49229274799086</v>
      </c>
      <c r="H75" s="281">
        <v>790.44914407445151</v>
      </c>
      <c r="I75" s="281">
        <v>52.161841002188631</v>
      </c>
      <c r="J75" s="281">
        <v>62.565493710827567</v>
      </c>
      <c r="K75" s="281">
        <v>8.7913366865625189E-3</v>
      </c>
      <c r="L75" s="281">
        <v>4112.4741299166435</v>
      </c>
      <c r="M75" s="281">
        <v>2845.9746988939805</v>
      </c>
      <c r="N75" s="281">
        <v>191.62659787632043</v>
      </c>
      <c r="O75" s="281">
        <v>76.269372390112338</v>
      </c>
      <c r="P75" s="281">
        <v>9.0407987995339845</v>
      </c>
      <c r="Q75" s="281">
        <v>61.251635914154626</v>
      </c>
      <c r="R75" s="281">
        <v>9836.5877939841157</v>
      </c>
      <c r="S75" s="281">
        <v>1893.6430148487609</v>
      </c>
      <c r="T75" s="281">
        <v>94.82476762447159</v>
      </c>
      <c r="U75" s="281">
        <v>909.50069620561931</v>
      </c>
      <c r="V75" s="281">
        <v>1053.1834942102159</v>
      </c>
      <c r="W75" s="281">
        <v>2434.714933483589</v>
      </c>
      <c r="X75" s="281">
        <v>16.486809111019319</v>
      </c>
      <c r="Y75" s="281">
        <v>96.6414833940443</v>
      </c>
      <c r="Z75" s="281">
        <v>92.341955672474782</v>
      </c>
      <c r="AA75" s="281">
        <v>656.52253361419582</v>
      </c>
      <c r="AB75" s="281">
        <v>404.80624693924261</v>
      </c>
      <c r="AC75" s="281">
        <v>55.923625014340629</v>
      </c>
      <c r="AD75" s="281">
        <v>657.5263646165256</v>
      </c>
      <c r="AE75" s="281">
        <v>239.53317204334533</v>
      </c>
      <c r="AF75" s="281">
        <v>81.850908028392041</v>
      </c>
      <c r="AG75" s="281">
        <v>123.66527191772326</v>
      </c>
      <c r="AH75" s="281">
        <v>1217.849963992385</v>
      </c>
      <c r="AI75" s="281">
        <v>171.82093227504939</v>
      </c>
      <c r="AJ75" s="281">
        <v>5395.6663734465747</v>
      </c>
      <c r="AK75" s="281">
        <v>434.73248426303132</v>
      </c>
      <c r="AL75" s="478">
        <v>313.78893879776825</v>
      </c>
      <c r="AM75" s="281">
        <v>52.794933125363563</v>
      </c>
      <c r="AN75" s="281">
        <v>4748.9946457084807</v>
      </c>
      <c r="AO75" s="281">
        <v>2991.5143043607904</v>
      </c>
      <c r="AP75" s="281">
        <v>91.651978490990317</v>
      </c>
      <c r="AQ75" s="281">
        <v>13.620851977616049</v>
      </c>
      <c r="AR75" s="281">
        <v>180.11342649446789</v>
      </c>
      <c r="AS75" s="281">
        <v>251.41638297185105</v>
      </c>
      <c r="AT75" s="281">
        <v>313.14289131329559</v>
      </c>
      <c r="AU75" s="281">
        <v>979.72882096877549</v>
      </c>
      <c r="AV75" s="281">
        <v>1226.7727405233998</v>
      </c>
      <c r="AW75" s="281"/>
      <c r="AX75" s="281">
        <v>1085.4628789765404</v>
      </c>
      <c r="AY75" s="281">
        <v>1021.843019907178</v>
      </c>
      <c r="AZ75" s="281">
        <v>3392.1173074809562</v>
      </c>
      <c r="BA75" s="281"/>
      <c r="BB75" s="281"/>
      <c r="BC75" s="281"/>
      <c r="BD75" s="281"/>
      <c r="BE75" s="281"/>
      <c r="BF75" s="281"/>
      <c r="BG75" s="281"/>
      <c r="BH75" s="281"/>
      <c r="BI75" s="281"/>
      <c r="BJ75" s="281"/>
      <c r="BK75" s="281"/>
      <c r="BL75" s="281"/>
      <c r="BM75" s="281"/>
      <c r="BN75" s="281"/>
      <c r="BO75" s="281"/>
      <c r="BP75" s="281"/>
      <c r="BQ75" s="281"/>
      <c r="BR75" s="281"/>
      <c r="BS75" s="281"/>
      <c r="BT75" s="281"/>
      <c r="BU75" s="281"/>
      <c r="BV75" s="281"/>
      <c r="BW75" s="281"/>
      <c r="BX75" s="281"/>
      <c r="BY75" s="281"/>
      <c r="BZ75" s="281"/>
      <c r="CA75" s="281"/>
      <c r="CB75" s="281"/>
      <c r="CC75" s="281"/>
      <c r="CD75" s="281"/>
      <c r="CE75" s="281"/>
      <c r="CF75" s="281"/>
      <c r="CG75" s="281"/>
      <c r="CH75" s="281"/>
      <c r="CI75" s="281"/>
      <c r="CJ75" s="281"/>
      <c r="CK75" s="281"/>
      <c r="CL75" s="281"/>
      <c r="CM75" s="281"/>
      <c r="CN75" s="281"/>
      <c r="CO75" s="281"/>
      <c r="CP75" s="281"/>
      <c r="CQ75" s="281"/>
      <c r="CR75" s="281"/>
      <c r="CS75" s="281"/>
      <c r="CT75" s="281"/>
      <c r="CU75" s="281"/>
      <c r="CV75" s="281"/>
      <c r="CW75" s="281"/>
      <c r="CX75" s="281"/>
      <c r="CY75" s="281"/>
      <c r="CZ75" s="281"/>
      <c r="DA75" s="281"/>
      <c r="DB75" s="281"/>
      <c r="DC75" s="281"/>
      <c r="DD75" s="281"/>
      <c r="DE75" s="281"/>
      <c r="DF75" s="281"/>
      <c r="DG75" s="281"/>
      <c r="DH75" s="281"/>
      <c r="DI75" s="281"/>
      <c r="DJ75" s="281"/>
      <c r="DK75" s="281"/>
      <c r="DL75" s="281">
        <v>57.110105073342396</v>
      </c>
      <c r="DM75" s="281">
        <v>57.626980140088584</v>
      </c>
      <c r="DN75" s="281">
        <v>68.597700256125094</v>
      </c>
      <c r="DO75" s="281">
        <v>60.211940554062913</v>
      </c>
      <c r="DP75" s="281">
        <v>57.922107404101865</v>
      </c>
      <c r="DQ75" s="281">
        <v>81.041412774969146</v>
      </c>
      <c r="DR75" s="281">
        <v>69.02537658269398</v>
      </c>
      <c r="DS75" s="281">
        <v>129.91217343128201</v>
      </c>
      <c r="DT75" s="281">
        <v>251.6069874781293</v>
      </c>
      <c r="DU75" s="281">
        <v>78.289593332384229</v>
      </c>
      <c r="DV75" s="281">
        <v>76.905271962037119</v>
      </c>
      <c r="DW75" s="281">
        <v>71.070892414714464</v>
      </c>
      <c r="DX75" s="281">
        <v>154.05121569606573</v>
      </c>
      <c r="DY75" s="281">
        <v>202.30582530024313</v>
      </c>
      <c r="DZ75" s="281"/>
      <c r="EA75" s="281"/>
      <c r="EB75" s="281"/>
      <c r="EC75" s="281"/>
      <c r="ED75" s="281"/>
      <c r="EE75" s="281"/>
      <c r="EF75" s="281"/>
      <c r="EG75" s="281"/>
      <c r="EH75" s="281"/>
      <c r="EI75" s="281"/>
      <c r="EJ75" s="281">
        <v>278.42550590120192</v>
      </c>
      <c r="EK75" s="281">
        <v>5029.9800896295146</v>
      </c>
      <c r="EL75" s="281">
        <v>59771.082006278768</v>
      </c>
    </row>
    <row r="76" spans="1:142" x14ac:dyDescent="0.25">
      <c r="A76" s="279" t="s">
        <v>1585</v>
      </c>
      <c r="B76" s="281">
        <v>61.558138209613332</v>
      </c>
      <c r="C76" s="281">
        <v>27.67087098122952</v>
      </c>
      <c r="D76" s="281">
        <v>6.3189018678204798</v>
      </c>
      <c r="E76" s="281">
        <v>36.946343597636186</v>
      </c>
      <c r="F76" s="281">
        <v>29.082420698480046</v>
      </c>
      <c r="G76" s="281">
        <v>236.46549716399957</v>
      </c>
      <c r="H76" s="281">
        <v>59.371497252992661</v>
      </c>
      <c r="I76" s="281">
        <v>3.9179327639081936</v>
      </c>
      <c r="J76" s="281">
        <v>4.6993624647845191</v>
      </c>
      <c r="K76" s="281">
        <v>2.168155534024501E-3</v>
      </c>
      <c r="L76" s="281">
        <v>3625.633240039193</v>
      </c>
      <c r="M76" s="281">
        <v>2467.63907124445</v>
      </c>
      <c r="N76" s="281">
        <v>239.60345709751095</v>
      </c>
      <c r="O76" s="281">
        <v>139.22417554012554</v>
      </c>
      <c r="P76" s="281">
        <v>13.901244555444688</v>
      </c>
      <c r="Q76" s="281">
        <v>104.50849817261798</v>
      </c>
      <c r="R76" s="281">
        <v>401.27228079951186</v>
      </c>
      <c r="S76" s="281">
        <v>21194.273608523588</v>
      </c>
      <c r="T76" s="281">
        <v>12336.244065989971</v>
      </c>
      <c r="U76" s="281">
        <v>161.76364688716203</v>
      </c>
      <c r="V76" s="281">
        <v>259.74043569567726</v>
      </c>
      <c r="W76" s="281">
        <v>3332.8266588153574</v>
      </c>
      <c r="X76" s="281">
        <v>19.017197442361997</v>
      </c>
      <c r="Y76" s="281">
        <v>5126.7800328746598</v>
      </c>
      <c r="Z76" s="281">
        <v>42.56318201311089</v>
      </c>
      <c r="AA76" s="281">
        <v>408.65795692274048</v>
      </c>
      <c r="AB76" s="281">
        <v>112.75031725512756</v>
      </c>
      <c r="AC76" s="281">
        <v>93.566326068805211</v>
      </c>
      <c r="AD76" s="281">
        <v>135.36472677543023</v>
      </c>
      <c r="AE76" s="281">
        <v>226.87822649637727</v>
      </c>
      <c r="AF76" s="281">
        <v>141.5573555680086</v>
      </c>
      <c r="AG76" s="281">
        <v>81.849726550251688</v>
      </c>
      <c r="AH76" s="281">
        <v>945.64599542766325</v>
      </c>
      <c r="AI76" s="281">
        <v>5.5058513110178398</v>
      </c>
      <c r="AJ76" s="281">
        <v>163.98935096683792</v>
      </c>
      <c r="AK76" s="281">
        <v>784.82236237248878</v>
      </c>
      <c r="AL76" s="478">
        <v>102.00212127666117</v>
      </c>
      <c r="AM76" s="281">
        <v>9.7428782356393793</v>
      </c>
      <c r="AN76" s="281">
        <v>562.83802361350683</v>
      </c>
      <c r="AO76" s="281">
        <v>19698.212401112978</v>
      </c>
      <c r="AP76" s="281">
        <v>64.504802665418325</v>
      </c>
      <c r="AQ76" s="281">
        <v>19.048696868167472</v>
      </c>
      <c r="AR76" s="281">
        <v>264.08434598710789</v>
      </c>
      <c r="AS76" s="281">
        <v>281.44446512932814</v>
      </c>
      <c r="AT76" s="281">
        <v>340.49235681638635</v>
      </c>
      <c r="AU76" s="281">
        <v>1065.2969763852789</v>
      </c>
      <c r="AV76" s="281">
        <v>1448.9316602641793</v>
      </c>
      <c r="AW76" s="281">
        <v>215.28889979642324</v>
      </c>
      <c r="AX76" s="281">
        <v>11850.751164624991</v>
      </c>
      <c r="AY76" s="281">
        <v>1394.8881624630642</v>
      </c>
      <c r="AZ76" s="281">
        <v>3808.2006751255958</v>
      </c>
      <c r="BA76" s="281"/>
      <c r="BB76" s="281"/>
      <c r="BC76" s="281"/>
      <c r="BD76" s="281"/>
      <c r="BE76" s="281"/>
      <c r="BF76" s="281"/>
      <c r="BG76" s="281"/>
      <c r="BH76" s="281"/>
      <c r="BI76" s="281"/>
      <c r="BJ76" s="281"/>
      <c r="BK76" s="281"/>
      <c r="BL76" s="281"/>
      <c r="BM76" s="281"/>
      <c r="BN76" s="281"/>
      <c r="BO76" s="281"/>
      <c r="BP76" s="281"/>
      <c r="BQ76" s="281"/>
      <c r="BR76" s="281"/>
      <c r="BS76" s="281"/>
      <c r="BT76" s="281"/>
      <c r="BU76" s="281"/>
      <c r="BV76" s="281"/>
      <c r="BW76" s="281"/>
      <c r="BX76" s="281"/>
      <c r="BY76" s="281"/>
      <c r="BZ76" s="281"/>
      <c r="CA76" s="281"/>
      <c r="CB76" s="281"/>
      <c r="CC76" s="281"/>
      <c r="CD76" s="281"/>
      <c r="CE76" s="281"/>
      <c r="CF76" s="281"/>
      <c r="CG76" s="281"/>
      <c r="CH76" s="281"/>
      <c r="CI76" s="281"/>
      <c r="CJ76" s="281"/>
      <c r="CK76" s="281"/>
      <c r="CL76" s="281"/>
      <c r="CM76" s="281"/>
      <c r="CN76" s="281"/>
      <c r="CO76" s="281"/>
      <c r="CP76" s="281"/>
      <c r="CQ76" s="281"/>
      <c r="CR76" s="281"/>
      <c r="CS76" s="281"/>
      <c r="CT76" s="281"/>
      <c r="CU76" s="281"/>
      <c r="CV76" s="281"/>
      <c r="CW76" s="281"/>
      <c r="CX76" s="281"/>
      <c r="CY76" s="281"/>
      <c r="CZ76" s="281"/>
      <c r="DA76" s="281"/>
      <c r="DB76" s="281"/>
      <c r="DC76" s="281"/>
      <c r="DD76" s="281"/>
      <c r="DE76" s="281"/>
      <c r="DF76" s="281"/>
      <c r="DG76" s="281"/>
      <c r="DH76" s="281"/>
      <c r="DI76" s="281"/>
      <c r="DJ76" s="281"/>
      <c r="DK76" s="281"/>
      <c r="DL76" s="281">
        <v>258.87771935422467</v>
      </c>
      <c r="DM76" s="281">
        <v>407.54163456609888</v>
      </c>
      <c r="DN76" s="281">
        <v>543.88922959270838</v>
      </c>
      <c r="DO76" s="281">
        <v>743.32671189206633</v>
      </c>
      <c r="DP76" s="281">
        <v>754.50947223302785</v>
      </c>
      <c r="DQ76" s="281">
        <v>825.4025725424051</v>
      </c>
      <c r="DR76" s="281">
        <v>1062.0312313922325</v>
      </c>
      <c r="DS76" s="281">
        <v>1435.553344708022</v>
      </c>
      <c r="DT76" s="281">
        <v>2113.222857650228</v>
      </c>
      <c r="DU76" s="281">
        <v>584.41834540226739</v>
      </c>
      <c r="DV76" s="281">
        <v>448.99000231873566</v>
      </c>
      <c r="DW76" s="281">
        <v>475.16161099882407</v>
      </c>
      <c r="DX76" s="281">
        <v>748.24537572800273</v>
      </c>
      <c r="DY76" s="281">
        <v>670.71307126907845</v>
      </c>
      <c r="DZ76" s="281"/>
      <c r="EA76" s="281"/>
      <c r="EB76" s="281"/>
      <c r="EC76" s="281"/>
      <c r="ED76" s="281"/>
      <c r="EE76" s="281"/>
      <c r="EF76" s="281"/>
      <c r="EG76" s="281"/>
      <c r="EH76" s="281"/>
      <c r="EI76" s="281"/>
      <c r="EJ76" s="281">
        <v>-161.08407922607557</v>
      </c>
      <c r="EK76" s="281">
        <v>11741.859540664365</v>
      </c>
      <c r="EL76" s="281">
        <v>116809.99839601238</v>
      </c>
    </row>
    <row r="77" spans="1:142" x14ac:dyDescent="0.25">
      <c r="A77" s="279" t="s">
        <v>1584</v>
      </c>
      <c r="B77" s="281">
        <v>14.066506878074524</v>
      </c>
      <c r="C77" s="281">
        <v>6.3230008182951289</v>
      </c>
      <c r="D77" s="281">
        <v>2.2460888608837375</v>
      </c>
      <c r="E77" s="281">
        <v>6.1536264701500665</v>
      </c>
      <c r="F77" s="281">
        <v>4.5944133584144931</v>
      </c>
      <c r="G77" s="281">
        <v>31.696895552894532</v>
      </c>
      <c r="H77" s="281">
        <v>5.4124895164124291</v>
      </c>
      <c r="I77" s="281">
        <v>0.35717088151407494</v>
      </c>
      <c r="J77" s="281">
        <v>0.42840843251912769</v>
      </c>
      <c r="K77" s="281">
        <v>9.8792256045284393E-5</v>
      </c>
      <c r="L77" s="281">
        <v>95.085456535871629</v>
      </c>
      <c r="M77" s="281">
        <v>8.0494347539012967</v>
      </c>
      <c r="N77" s="281">
        <v>27.856776680891603</v>
      </c>
      <c r="O77" s="281">
        <v>8.5532420054834564</v>
      </c>
      <c r="P77" s="281">
        <v>0.91544695532777576</v>
      </c>
      <c r="Q77" s="281">
        <v>5.4928835510563134</v>
      </c>
      <c r="R77" s="281">
        <v>13.737402366707999</v>
      </c>
      <c r="S77" s="281">
        <v>1309.00573197325</v>
      </c>
      <c r="T77" s="281">
        <v>2836.5419207123564</v>
      </c>
      <c r="U77" s="281">
        <v>13.175085883006352</v>
      </c>
      <c r="V77" s="281">
        <v>11.835102798612743</v>
      </c>
      <c r="W77" s="281">
        <v>133.3304902208609</v>
      </c>
      <c r="X77" s="281">
        <v>5.8383987546173381</v>
      </c>
      <c r="Y77" s="281">
        <v>36.645393636117852</v>
      </c>
      <c r="Z77" s="281">
        <v>2.242978541626897</v>
      </c>
      <c r="AA77" s="281">
        <v>9.178684003249133</v>
      </c>
      <c r="AB77" s="281">
        <v>16.110485992081465</v>
      </c>
      <c r="AC77" s="281">
        <v>5.3289600961569308</v>
      </c>
      <c r="AD77" s="281">
        <v>24.449905651860345</v>
      </c>
      <c r="AE77" s="281">
        <v>37.291698418022172</v>
      </c>
      <c r="AF77" s="281">
        <v>17.305838842843556</v>
      </c>
      <c r="AG77" s="281">
        <v>1891.2989719572008</v>
      </c>
      <c r="AH77" s="281">
        <v>42.528632274293521</v>
      </c>
      <c r="AI77" s="281">
        <v>2.3929510820094486</v>
      </c>
      <c r="AJ77" s="281">
        <v>8.0646334418305621</v>
      </c>
      <c r="AK77" s="281">
        <v>211.98279764880772</v>
      </c>
      <c r="AL77" s="478">
        <v>82.861549066362684</v>
      </c>
      <c r="AM77" s="281">
        <v>6.9263214911109925</v>
      </c>
      <c r="AN77" s="281">
        <v>120.10543576568452</v>
      </c>
      <c r="AO77" s="281">
        <v>20913.563072735295</v>
      </c>
      <c r="AP77" s="281">
        <v>172.65433716421236</v>
      </c>
      <c r="AQ77" s="281">
        <v>5.2194907351542765</v>
      </c>
      <c r="AR77" s="281">
        <v>76.000463183401251</v>
      </c>
      <c r="AS77" s="281">
        <v>84.133701620563869</v>
      </c>
      <c r="AT77" s="281">
        <v>84.066951807319271</v>
      </c>
      <c r="AU77" s="281">
        <v>263.0199115528406</v>
      </c>
      <c r="AV77" s="281">
        <v>479.06865098756987</v>
      </c>
      <c r="AW77" s="281">
        <v>648.09720589721189</v>
      </c>
      <c r="AX77" s="281">
        <v>19052.441818924788</v>
      </c>
      <c r="AY77" s="281">
        <v>2306.4641696243652</v>
      </c>
      <c r="AZ77" s="281">
        <v>5832.7802929760901</v>
      </c>
      <c r="BA77" s="281"/>
      <c r="BB77" s="281"/>
      <c r="BC77" s="281"/>
      <c r="BD77" s="281"/>
      <c r="BE77" s="281"/>
      <c r="BF77" s="281"/>
      <c r="BG77" s="281"/>
      <c r="BH77" s="281"/>
      <c r="BI77" s="281"/>
      <c r="BJ77" s="281"/>
      <c r="BK77" s="281"/>
      <c r="BL77" s="281"/>
      <c r="BM77" s="281"/>
      <c r="BN77" s="281"/>
      <c r="BO77" s="281"/>
      <c r="BP77" s="281"/>
      <c r="BQ77" s="281"/>
      <c r="BR77" s="281"/>
      <c r="BS77" s="281"/>
      <c r="BT77" s="281"/>
      <c r="BU77" s="281"/>
      <c r="BV77" s="281"/>
      <c r="BW77" s="281"/>
      <c r="BX77" s="281"/>
      <c r="BY77" s="281"/>
      <c r="BZ77" s="281"/>
      <c r="CA77" s="281"/>
      <c r="CB77" s="281"/>
      <c r="CC77" s="281"/>
      <c r="CD77" s="281"/>
      <c r="CE77" s="281"/>
      <c r="CF77" s="281"/>
      <c r="CG77" s="281"/>
      <c r="CH77" s="281"/>
      <c r="CI77" s="281"/>
      <c r="CJ77" s="281"/>
      <c r="CK77" s="281"/>
      <c r="CL77" s="281"/>
      <c r="CM77" s="281"/>
      <c r="CN77" s="281"/>
      <c r="CO77" s="281"/>
      <c r="CP77" s="281"/>
      <c r="CQ77" s="281"/>
      <c r="CR77" s="281"/>
      <c r="CS77" s="281"/>
      <c r="CT77" s="281"/>
      <c r="CU77" s="281"/>
      <c r="CV77" s="281"/>
      <c r="CW77" s="281"/>
      <c r="CX77" s="281"/>
      <c r="CY77" s="281"/>
      <c r="CZ77" s="281"/>
      <c r="DA77" s="281"/>
      <c r="DB77" s="281"/>
      <c r="DC77" s="281"/>
      <c r="DD77" s="281"/>
      <c r="DE77" s="281"/>
      <c r="DF77" s="281"/>
      <c r="DG77" s="281"/>
      <c r="DH77" s="281"/>
      <c r="DI77" s="281"/>
      <c r="DJ77" s="281"/>
      <c r="DK77" s="281"/>
      <c r="DL77" s="281">
        <v>66.872321892403562</v>
      </c>
      <c r="DM77" s="281">
        <v>159.31108403520369</v>
      </c>
      <c r="DN77" s="281">
        <v>182.25525898280094</v>
      </c>
      <c r="DO77" s="281">
        <v>262.52098640292019</v>
      </c>
      <c r="DP77" s="281">
        <v>315.35116492959537</v>
      </c>
      <c r="DQ77" s="281">
        <v>578.00404924901704</v>
      </c>
      <c r="DR77" s="281">
        <v>1029.9771403911056</v>
      </c>
      <c r="DS77" s="281">
        <v>1594.9435043187159</v>
      </c>
      <c r="DT77" s="281">
        <v>2824.8318196380528</v>
      </c>
      <c r="DU77" s="281">
        <v>658.40310873102317</v>
      </c>
      <c r="DV77" s="281">
        <v>771.39638151654526</v>
      </c>
      <c r="DW77" s="281">
        <v>693.17026958810675</v>
      </c>
      <c r="DX77" s="281">
        <v>1060.398406141054</v>
      </c>
      <c r="DY77" s="281">
        <v>1421.1077000332975</v>
      </c>
      <c r="DZ77" s="281"/>
      <c r="EA77" s="281"/>
      <c r="EB77" s="281"/>
      <c r="EC77" s="281"/>
      <c r="ED77" s="281"/>
      <c r="EE77" s="281"/>
      <c r="EF77" s="281"/>
      <c r="EG77" s="281"/>
      <c r="EH77" s="281">
        <v>1.0857660613639877</v>
      </c>
      <c r="EI77" s="281">
        <v>5.7835499217887117E-2</v>
      </c>
      <c r="EJ77" s="281">
        <v>1005.2245982828197</v>
      </c>
      <c r="EK77" s="281">
        <v>1175.3951959377221</v>
      </c>
      <c r="EL77" s="281">
        <v>70773.22796950239</v>
      </c>
    </row>
    <row r="78" spans="1:142" x14ac:dyDescent="0.25">
      <c r="A78" s="279" t="s">
        <v>1583</v>
      </c>
      <c r="B78" s="281"/>
      <c r="C78" s="281"/>
      <c r="D78" s="281"/>
      <c r="E78" s="281"/>
      <c r="F78" s="281"/>
      <c r="G78" s="281"/>
      <c r="H78" s="281"/>
      <c r="I78" s="281"/>
      <c r="J78" s="281"/>
      <c r="K78" s="281"/>
      <c r="L78" s="281"/>
      <c r="M78" s="281"/>
      <c r="N78" s="281"/>
      <c r="O78" s="281"/>
      <c r="P78" s="281"/>
      <c r="Q78" s="281"/>
      <c r="R78" s="281"/>
      <c r="S78" s="281"/>
      <c r="T78" s="281"/>
      <c r="U78" s="281"/>
      <c r="V78" s="281"/>
      <c r="W78" s="281"/>
      <c r="X78" s="281"/>
      <c r="Y78" s="281"/>
      <c r="Z78" s="281"/>
      <c r="AA78" s="281"/>
      <c r="AB78" s="281"/>
      <c r="AC78" s="281"/>
      <c r="AD78" s="281"/>
      <c r="AE78" s="281"/>
      <c r="AF78" s="281"/>
      <c r="AG78" s="281"/>
      <c r="AH78" s="281"/>
      <c r="AI78" s="281"/>
      <c r="AJ78" s="281"/>
      <c r="AK78" s="281"/>
      <c r="AL78" s="478"/>
      <c r="AM78" s="281"/>
      <c r="AN78" s="281"/>
      <c r="AO78" s="281"/>
      <c r="AP78" s="281"/>
      <c r="AQ78" s="281"/>
      <c r="AR78" s="281"/>
      <c r="AS78" s="281"/>
      <c r="AT78" s="281">
        <v>23072.835574879213</v>
      </c>
      <c r="AU78" s="281">
        <v>43355.10343832885</v>
      </c>
      <c r="AV78" s="281"/>
      <c r="AW78" s="281"/>
      <c r="AX78" s="281"/>
      <c r="AY78" s="281"/>
      <c r="AZ78" s="281"/>
      <c r="BA78" s="281"/>
      <c r="BB78" s="281"/>
      <c r="BC78" s="281"/>
      <c r="BD78" s="281"/>
      <c r="BE78" s="281"/>
      <c r="BF78" s="281"/>
      <c r="BG78" s="281"/>
      <c r="BH78" s="281"/>
      <c r="BI78" s="281"/>
      <c r="BJ78" s="281"/>
      <c r="BK78" s="281"/>
      <c r="BL78" s="281"/>
      <c r="BM78" s="281"/>
      <c r="BN78" s="281"/>
      <c r="BO78" s="281"/>
      <c r="BP78" s="281"/>
      <c r="BQ78" s="281"/>
      <c r="BR78" s="281"/>
      <c r="BS78" s="281"/>
      <c r="BT78" s="281"/>
      <c r="BU78" s="281"/>
      <c r="BV78" s="281"/>
      <c r="BW78" s="281"/>
      <c r="BX78" s="281"/>
      <c r="BY78" s="281"/>
      <c r="BZ78" s="281"/>
      <c r="CA78" s="281"/>
      <c r="CB78" s="281"/>
      <c r="CC78" s="281"/>
      <c r="CD78" s="281"/>
      <c r="CE78" s="281"/>
      <c r="CF78" s="281"/>
      <c r="CG78" s="281"/>
      <c r="CH78" s="281"/>
      <c r="CI78" s="281"/>
      <c r="CJ78" s="281"/>
      <c r="CK78" s="281"/>
      <c r="CL78" s="281"/>
      <c r="CM78" s="281"/>
      <c r="CN78" s="281"/>
      <c r="CO78" s="281"/>
      <c r="CP78" s="281"/>
      <c r="CQ78" s="281"/>
      <c r="CR78" s="281"/>
      <c r="CS78" s="281"/>
      <c r="CT78" s="281"/>
      <c r="CU78" s="281"/>
      <c r="CV78" s="281"/>
      <c r="CW78" s="281"/>
      <c r="CX78" s="281"/>
      <c r="CY78" s="281"/>
      <c r="CZ78" s="281"/>
      <c r="DA78" s="281"/>
      <c r="DB78" s="281"/>
      <c r="DC78" s="281"/>
      <c r="DD78" s="281"/>
      <c r="DE78" s="281"/>
      <c r="DF78" s="281"/>
      <c r="DG78" s="281"/>
      <c r="DH78" s="281"/>
      <c r="DI78" s="281"/>
      <c r="DJ78" s="281"/>
      <c r="DK78" s="281"/>
      <c r="DL78" s="281">
        <v>255.25799449603869</v>
      </c>
      <c r="DM78" s="281">
        <v>399.88643055811383</v>
      </c>
      <c r="DN78" s="281">
        <v>618.5228117216468</v>
      </c>
      <c r="DO78" s="281">
        <v>739.88847822468836</v>
      </c>
      <c r="DP78" s="281">
        <v>1293.3483635108726</v>
      </c>
      <c r="DQ78" s="281">
        <v>2651.6871128164566</v>
      </c>
      <c r="DR78" s="281">
        <v>4092.109742000705</v>
      </c>
      <c r="DS78" s="281">
        <v>6989.323439337204</v>
      </c>
      <c r="DT78" s="281">
        <v>17519.76559275408</v>
      </c>
      <c r="DU78" s="281">
        <v>5065.1203495883092</v>
      </c>
      <c r="DV78" s="281">
        <v>4718.1942982466444</v>
      </c>
      <c r="DW78" s="281">
        <v>5602.8557291678899</v>
      </c>
      <c r="DX78" s="281">
        <v>7597.6805243824647</v>
      </c>
      <c r="DY78" s="281">
        <v>7250.7544730407981</v>
      </c>
      <c r="DZ78" s="281"/>
      <c r="EA78" s="281"/>
      <c r="EB78" s="281"/>
      <c r="EC78" s="281"/>
      <c r="ED78" s="281"/>
      <c r="EE78" s="281"/>
      <c r="EF78" s="281"/>
      <c r="EG78" s="281"/>
      <c r="EH78" s="281"/>
      <c r="EI78" s="281"/>
      <c r="EJ78" s="281"/>
      <c r="EK78" s="281">
        <v>9249.4803104154216</v>
      </c>
      <c r="EL78" s="281">
        <v>140471.81466346935</v>
      </c>
    </row>
    <row r="79" spans="1:142" x14ac:dyDescent="0.25">
      <c r="A79" s="279" t="s">
        <v>1582</v>
      </c>
      <c r="B79" s="281">
        <v>7150.9024285738687</v>
      </c>
      <c r="C79" s="281">
        <v>757.36143798344392</v>
      </c>
      <c r="D79" s="281">
        <v>82.082047693727915</v>
      </c>
      <c r="E79" s="281">
        <v>1384.0852067580481</v>
      </c>
      <c r="F79" s="281">
        <v>1085.763989358981</v>
      </c>
      <c r="G79" s="281">
        <v>7639.7946068386882</v>
      </c>
      <c r="H79" s="281">
        <v>1171.5972304592171</v>
      </c>
      <c r="I79" s="281">
        <v>77.313852398911692</v>
      </c>
      <c r="J79" s="281">
        <v>92.734061012551294</v>
      </c>
      <c r="K79" s="281"/>
      <c r="L79" s="281"/>
      <c r="M79" s="281"/>
      <c r="N79" s="281"/>
      <c r="O79" s="281"/>
      <c r="P79" s="281"/>
      <c r="Q79" s="281"/>
      <c r="R79" s="281"/>
      <c r="S79" s="281">
        <v>38.633630796150605</v>
      </c>
      <c r="T79" s="281"/>
      <c r="U79" s="281"/>
      <c r="V79" s="281"/>
      <c r="W79" s="281"/>
      <c r="X79" s="281"/>
      <c r="Y79" s="281"/>
      <c r="Z79" s="281"/>
      <c r="AA79" s="281"/>
      <c r="AB79" s="281"/>
      <c r="AC79" s="281"/>
      <c r="AD79" s="281"/>
      <c r="AE79" s="281"/>
      <c r="AF79" s="281"/>
      <c r="AG79" s="281"/>
      <c r="AH79" s="281"/>
      <c r="AI79" s="281"/>
      <c r="AJ79" s="281"/>
      <c r="AK79" s="281"/>
      <c r="AL79" s="479">
        <v>3253.9456350439482</v>
      </c>
      <c r="AM79" s="281"/>
      <c r="AN79" s="281">
        <v>2725.2600725092611</v>
      </c>
      <c r="AO79" s="281">
        <v>46.904411366994033</v>
      </c>
      <c r="AP79" s="281">
        <v>0.71570566305041294</v>
      </c>
      <c r="AQ79" s="281"/>
      <c r="AR79" s="281"/>
      <c r="AS79" s="281"/>
      <c r="AT79" s="281">
        <v>24643.852671205921</v>
      </c>
      <c r="AU79" s="281">
        <v>91471.782675604278</v>
      </c>
      <c r="AV79" s="281">
        <v>105.47943522803716</v>
      </c>
      <c r="AW79" s="281">
        <v>1.7449429611731155</v>
      </c>
      <c r="AX79" s="281">
        <v>64.357590868036624</v>
      </c>
      <c r="AY79" s="281">
        <v>19.090650757095887</v>
      </c>
      <c r="AZ79" s="281">
        <v>26.474309346376454</v>
      </c>
      <c r="BA79" s="281"/>
      <c r="BB79" s="281"/>
      <c r="BC79" s="281"/>
      <c r="BD79" s="281"/>
      <c r="BE79" s="281"/>
      <c r="BF79" s="281"/>
      <c r="BG79" s="281"/>
      <c r="BH79" s="281"/>
      <c r="BI79" s="281"/>
      <c r="BJ79" s="281"/>
      <c r="BK79" s="281"/>
      <c r="BL79" s="281"/>
      <c r="BM79" s="281"/>
      <c r="BN79" s="281"/>
      <c r="BO79" s="281"/>
      <c r="BP79" s="281"/>
      <c r="BQ79" s="281"/>
      <c r="BR79" s="281"/>
      <c r="BS79" s="281"/>
      <c r="BT79" s="281"/>
      <c r="BU79" s="281"/>
      <c r="BV79" s="281"/>
      <c r="BW79" s="281"/>
      <c r="BX79" s="281"/>
      <c r="BY79" s="281"/>
      <c r="BZ79" s="281"/>
      <c r="CA79" s="281"/>
      <c r="CB79" s="281"/>
      <c r="CC79" s="281"/>
      <c r="CD79" s="281"/>
      <c r="CE79" s="281"/>
      <c r="CF79" s="281"/>
      <c r="CG79" s="281"/>
      <c r="CH79" s="281"/>
      <c r="CI79" s="281"/>
      <c r="CJ79" s="281"/>
      <c r="CK79" s="281"/>
      <c r="CL79" s="281"/>
      <c r="CM79" s="281"/>
      <c r="CN79" s="281"/>
      <c r="CO79" s="281"/>
      <c r="CP79" s="281"/>
      <c r="CQ79" s="281"/>
      <c r="CR79" s="281"/>
      <c r="CS79" s="281"/>
      <c r="CT79" s="281"/>
      <c r="CU79" s="281"/>
      <c r="CV79" s="281"/>
      <c r="CW79" s="281"/>
      <c r="CX79" s="281"/>
      <c r="CY79" s="281"/>
      <c r="CZ79" s="281"/>
      <c r="DA79" s="281"/>
      <c r="DB79" s="281"/>
      <c r="DC79" s="281"/>
      <c r="DD79" s="281"/>
      <c r="DE79" s="281"/>
      <c r="DF79" s="281"/>
      <c r="DG79" s="281"/>
      <c r="DH79" s="281"/>
      <c r="DI79" s="281"/>
      <c r="DJ79" s="281"/>
      <c r="DK79" s="281"/>
      <c r="DL79" s="281">
        <v>35.936835783282092</v>
      </c>
      <c r="DM79" s="281">
        <v>56.2985422466476</v>
      </c>
      <c r="DN79" s="281">
        <v>87.079555556876684</v>
      </c>
      <c r="DO79" s="281">
        <v>104.16618211076538</v>
      </c>
      <c r="DP79" s="281">
        <v>182.08576715425133</v>
      </c>
      <c r="DQ79" s="281">
        <v>373.32129209143835</v>
      </c>
      <c r="DR79" s="281">
        <v>576.11310507938026</v>
      </c>
      <c r="DS79" s="281">
        <v>984.00118347558134</v>
      </c>
      <c r="DT79" s="281">
        <v>2466.5434683502926</v>
      </c>
      <c r="DU79" s="281">
        <v>713.0996958002828</v>
      </c>
      <c r="DV79" s="281">
        <v>664.25725088245531</v>
      </c>
      <c r="DW79" s="281">
        <v>788.80548542291535</v>
      </c>
      <c r="DX79" s="281">
        <v>1069.6495437004244</v>
      </c>
      <c r="DY79" s="281">
        <v>1020.8070987825967</v>
      </c>
      <c r="DZ79" s="281"/>
      <c r="EA79" s="281"/>
      <c r="EB79" s="281"/>
      <c r="EC79" s="281"/>
      <c r="ED79" s="281"/>
      <c r="EE79" s="281"/>
      <c r="EF79" s="281"/>
      <c r="EG79" s="281"/>
      <c r="EH79" s="281">
        <v>234.18201618696301</v>
      </c>
      <c r="EI79" s="281">
        <v>12.47417311700617</v>
      </c>
      <c r="EJ79" s="281"/>
      <c r="EK79" s="281">
        <v>6932.415272635807</v>
      </c>
      <c r="EL79" s="281">
        <v>158141.11306080475</v>
      </c>
    </row>
    <row r="80" spans="1:142" x14ac:dyDescent="0.25">
      <c r="A80" s="279" t="s">
        <v>1581</v>
      </c>
      <c r="B80" s="281">
        <v>401.24121656648191</v>
      </c>
      <c r="C80" s="281">
        <v>42.495982540992664</v>
      </c>
      <c r="D80" s="281">
        <v>4.6056705435243472</v>
      </c>
      <c r="E80" s="281"/>
      <c r="F80" s="281"/>
      <c r="G80" s="281"/>
      <c r="H80" s="281"/>
      <c r="I80" s="281"/>
      <c r="J80" s="281"/>
      <c r="K80" s="281"/>
      <c r="L80" s="281">
        <v>157.48160443643067</v>
      </c>
      <c r="M80" s="281"/>
      <c r="N80" s="281"/>
      <c r="O80" s="281"/>
      <c r="P80" s="281"/>
      <c r="Q80" s="281"/>
      <c r="R80" s="281"/>
      <c r="S80" s="281"/>
      <c r="T80" s="281"/>
      <c r="U80" s="281"/>
      <c r="V80" s="281"/>
      <c r="W80" s="281"/>
      <c r="X80" s="281"/>
      <c r="Y80" s="281"/>
      <c r="Z80" s="281"/>
      <c r="AA80" s="281"/>
      <c r="AB80" s="281">
        <v>263.76234889937763</v>
      </c>
      <c r="AC80" s="281"/>
      <c r="AD80" s="281">
        <v>8.7838366541284921E-2</v>
      </c>
      <c r="AE80" s="281"/>
      <c r="AF80" s="281"/>
      <c r="AG80" s="281"/>
      <c r="AH80" s="281"/>
      <c r="AI80" s="281"/>
      <c r="AJ80" s="281"/>
      <c r="AK80" s="281"/>
      <c r="AL80" s="478"/>
      <c r="AM80" s="281"/>
      <c r="AN80" s="281">
        <v>3090.327544073506</v>
      </c>
      <c r="AO80" s="281">
        <v>246.04024623297406</v>
      </c>
      <c r="AP80" s="281">
        <v>3.7542822185627358</v>
      </c>
      <c r="AQ80" s="281">
        <v>528.39813798432363</v>
      </c>
      <c r="AR80" s="281">
        <v>6915.4578141463753</v>
      </c>
      <c r="AS80" s="281"/>
      <c r="AT80" s="281"/>
      <c r="AU80" s="281"/>
      <c r="AV80" s="281">
        <v>553.29947567114095</v>
      </c>
      <c r="AW80" s="281">
        <v>9.1532157278417277</v>
      </c>
      <c r="AX80" s="281">
        <v>337.59207380812137</v>
      </c>
      <c r="AY80" s="281">
        <v>100.14129324153174</v>
      </c>
      <c r="AZ80" s="281">
        <v>138.87277125097918</v>
      </c>
      <c r="BA80" s="281"/>
      <c r="BB80" s="281"/>
      <c r="BC80" s="281"/>
      <c r="BD80" s="281"/>
      <c r="BE80" s="281"/>
      <c r="BF80" s="281"/>
      <c r="BG80" s="281"/>
      <c r="BH80" s="281"/>
      <c r="BI80" s="281"/>
      <c r="BJ80" s="281"/>
      <c r="BK80" s="281"/>
      <c r="BL80" s="281"/>
      <c r="BM80" s="281"/>
      <c r="BN80" s="281"/>
      <c r="BO80" s="281"/>
      <c r="BP80" s="281"/>
      <c r="BQ80" s="281"/>
      <c r="BR80" s="281"/>
      <c r="BS80" s="281"/>
      <c r="BT80" s="281"/>
      <c r="BU80" s="281"/>
      <c r="BV80" s="281"/>
      <c r="BW80" s="281"/>
      <c r="BX80" s="281"/>
      <c r="BY80" s="281"/>
      <c r="BZ80" s="281"/>
      <c r="CA80" s="281"/>
      <c r="CB80" s="281"/>
      <c r="CC80" s="281"/>
      <c r="CD80" s="281"/>
      <c r="CE80" s="281"/>
      <c r="CF80" s="281"/>
      <c r="CG80" s="281"/>
      <c r="CH80" s="281"/>
      <c r="CI80" s="281"/>
      <c r="CJ80" s="281"/>
      <c r="CK80" s="281"/>
      <c r="CL80" s="281"/>
      <c r="CM80" s="281"/>
      <c r="CN80" s="281"/>
      <c r="CO80" s="281"/>
      <c r="CP80" s="281"/>
      <c r="CQ80" s="281"/>
      <c r="CR80" s="281"/>
      <c r="CS80" s="281"/>
      <c r="CT80" s="281"/>
      <c r="CU80" s="281"/>
      <c r="CV80" s="281"/>
      <c r="CW80" s="281"/>
      <c r="CX80" s="281"/>
      <c r="CY80" s="281"/>
      <c r="CZ80" s="281"/>
      <c r="DA80" s="281"/>
      <c r="DB80" s="281"/>
      <c r="DC80" s="281"/>
      <c r="DD80" s="281"/>
      <c r="DE80" s="281"/>
      <c r="DF80" s="281"/>
      <c r="DG80" s="281"/>
      <c r="DH80" s="281"/>
      <c r="DI80" s="281"/>
      <c r="DJ80" s="281"/>
      <c r="DK80" s="281"/>
      <c r="DL80" s="281">
        <v>142.96454815919864</v>
      </c>
      <c r="DM80" s="281">
        <v>223.9678446608759</v>
      </c>
      <c r="DN80" s="281">
        <v>346.42140975261248</v>
      </c>
      <c r="DO80" s="281">
        <v>414.39572612183633</v>
      </c>
      <c r="DP80" s="281">
        <v>724.37678109486365</v>
      </c>
      <c r="DQ80" s="281">
        <v>185.52643928235614</v>
      </c>
      <c r="DR80" s="281">
        <v>286.30623346042614</v>
      </c>
      <c r="DS80" s="281">
        <v>489.01104675040784</v>
      </c>
      <c r="DT80" s="281">
        <v>29.98842427929516</v>
      </c>
      <c r="DU80" s="281">
        <v>8.669920682726918</v>
      </c>
      <c r="DV80" s="281">
        <v>8.0760904989785018</v>
      </c>
      <c r="DW80" s="281">
        <v>9.5903574675369683</v>
      </c>
      <c r="DX80" s="281">
        <v>13.004881024090375</v>
      </c>
      <c r="DY80" s="281">
        <v>12.411050840341959</v>
      </c>
      <c r="DZ80" s="281"/>
      <c r="EA80" s="281"/>
      <c r="EB80" s="281"/>
      <c r="EC80" s="281"/>
      <c r="ED80" s="281"/>
      <c r="EE80" s="281"/>
      <c r="EF80" s="281"/>
      <c r="EG80" s="281"/>
      <c r="EH80" s="281">
        <v>265.55232003340478</v>
      </c>
      <c r="EI80" s="281">
        <v>14.145175046553073</v>
      </c>
      <c r="EJ80" s="281"/>
      <c r="EK80" s="281">
        <v>12045.401497645895</v>
      </c>
      <c r="EL80" s="281">
        <v>28012.521262510105</v>
      </c>
    </row>
    <row r="81" spans="1:142" x14ac:dyDescent="0.25">
      <c r="A81" s="279" t="s">
        <v>1580</v>
      </c>
      <c r="B81" s="281">
        <v>14340.305681357957</v>
      </c>
      <c r="C81" s="281">
        <v>1520.0946732699558</v>
      </c>
      <c r="D81" s="281">
        <v>159.08483750064056</v>
      </c>
      <c r="E81" s="281">
        <v>250.50338179061006</v>
      </c>
      <c r="F81" s="281">
        <v>371.37901005427631</v>
      </c>
      <c r="G81" s="281">
        <v>2597.4414893387434</v>
      </c>
      <c r="H81" s="281">
        <v>576.23717033451487</v>
      </c>
      <c r="I81" s="281">
        <v>38.0259652171993</v>
      </c>
      <c r="J81" s="281">
        <v>45.610224676406773</v>
      </c>
      <c r="K81" s="281">
        <v>0.40333312522118758</v>
      </c>
      <c r="L81" s="281">
        <v>2384.5939633696712</v>
      </c>
      <c r="M81" s="281">
        <v>2134.4153583605557</v>
      </c>
      <c r="N81" s="281">
        <v>2538.797012959265</v>
      </c>
      <c r="O81" s="281">
        <v>421.60919033733092</v>
      </c>
      <c r="P81" s="281">
        <v>257.4234407613975</v>
      </c>
      <c r="Q81" s="281">
        <v>664.14922768945144</v>
      </c>
      <c r="R81" s="281">
        <v>447.90547621492107</v>
      </c>
      <c r="S81" s="281">
        <v>4549.8327158482862</v>
      </c>
      <c r="T81" s="281">
        <v>228.83051188795403</v>
      </c>
      <c r="U81" s="281">
        <v>11066.671793464173</v>
      </c>
      <c r="V81" s="281">
        <v>48318.453188177307</v>
      </c>
      <c r="W81" s="281">
        <v>29661.681871466466</v>
      </c>
      <c r="X81" s="281">
        <v>5370.4947855462024</v>
      </c>
      <c r="Y81" s="281">
        <v>11973.094741545234</v>
      </c>
      <c r="Z81" s="281">
        <v>106.06232154818838</v>
      </c>
      <c r="AA81" s="281">
        <v>407.85980946246661</v>
      </c>
      <c r="AB81" s="281">
        <v>1856.7158003967022</v>
      </c>
      <c r="AC81" s="281">
        <v>7303.1456484106366</v>
      </c>
      <c r="AD81" s="281">
        <v>270.4411432782868</v>
      </c>
      <c r="AE81" s="281">
        <v>976.04972652529943</v>
      </c>
      <c r="AF81" s="281">
        <v>1318.6779367809349</v>
      </c>
      <c r="AG81" s="281">
        <v>351.17769436752809</v>
      </c>
      <c r="AH81" s="281">
        <v>1621.2933302745914</v>
      </c>
      <c r="AI81" s="281">
        <v>13.380039293720136</v>
      </c>
      <c r="AJ81" s="281">
        <v>667.47514397809232</v>
      </c>
      <c r="AK81" s="281">
        <v>1140.4388575997548</v>
      </c>
      <c r="AL81" s="478">
        <v>185.95897999268368</v>
      </c>
      <c r="AM81" s="281">
        <v>464.09501710127688</v>
      </c>
      <c r="AN81" s="281"/>
      <c r="AO81" s="281">
        <v>223.83580878111616</v>
      </c>
      <c r="AP81" s="281">
        <v>225.47295446020186</v>
      </c>
      <c r="AQ81" s="281">
        <v>2.2464978215449447</v>
      </c>
      <c r="AR81" s="281">
        <v>29.404340339597134</v>
      </c>
      <c r="AS81" s="281">
        <v>26.010604119629011</v>
      </c>
      <c r="AT81" s="281">
        <v>30.68696584466834</v>
      </c>
      <c r="AU81" s="281">
        <v>95.010178420516752</v>
      </c>
      <c r="AV81" s="281">
        <v>154.91066053770294</v>
      </c>
      <c r="AW81" s="281">
        <v>1.6188425303859661</v>
      </c>
      <c r="AX81" s="281">
        <v>351.7142207582433</v>
      </c>
      <c r="AY81" s="281">
        <v>405.05981559244674</v>
      </c>
      <c r="AZ81" s="281">
        <v>3426.2299790274137</v>
      </c>
      <c r="BA81" s="281"/>
      <c r="BB81" s="281"/>
      <c r="BC81" s="281"/>
      <c r="BD81" s="281"/>
      <c r="BE81" s="281"/>
      <c r="BF81" s="281"/>
      <c r="BG81" s="281"/>
      <c r="BH81" s="281"/>
      <c r="BI81" s="281"/>
      <c r="BJ81" s="281"/>
      <c r="BK81" s="281"/>
      <c r="BL81" s="281"/>
      <c r="BM81" s="281"/>
      <c r="BN81" s="281"/>
      <c r="BO81" s="281"/>
      <c r="BP81" s="281"/>
      <c r="BQ81" s="281"/>
      <c r="BR81" s="281"/>
      <c r="BS81" s="281"/>
      <c r="BT81" s="281"/>
      <c r="BU81" s="281"/>
      <c r="BV81" s="281"/>
      <c r="BW81" s="281"/>
      <c r="BX81" s="281"/>
      <c r="BY81" s="281"/>
      <c r="BZ81" s="281"/>
      <c r="CA81" s="281"/>
      <c r="CB81" s="281"/>
      <c r="CC81" s="281"/>
      <c r="CD81" s="281"/>
      <c r="CE81" s="281"/>
      <c r="CF81" s="281"/>
      <c r="CG81" s="281"/>
      <c r="CH81" s="281"/>
      <c r="CI81" s="281"/>
      <c r="CJ81" s="281"/>
      <c r="CK81" s="281"/>
      <c r="CL81" s="281"/>
      <c r="CM81" s="281"/>
      <c r="CN81" s="281"/>
      <c r="CO81" s="281"/>
      <c r="CP81" s="281"/>
      <c r="CQ81" s="281"/>
      <c r="CR81" s="281"/>
      <c r="CS81" s="281"/>
      <c r="CT81" s="281"/>
      <c r="CU81" s="281"/>
      <c r="CV81" s="281"/>
      <c r="CW81" s="281"/>
      <c r="CX81" s="281"/>
      <c r="CY81" s="281"/>
      <c r="CZ81" s="281"/>
      <c r="DA81" s="281"/>
      <c r="DB81" s="281"/>
      <c r="DC81" s="281"/>
      <c r="DD81" s="281"/>
      <c r="DE81" s="281"/>
      <c r="DF81" s="281"/>
      <c r="DG81" s="281"/>
      <c r="DH81" s="281"/>
      <c r="DI81" s="281"/>
      <c r="DJ81" s="281"/>
      <c r="DK81" s="281"/>
      <c r="DL81" s="281">
        <v>63.813490434126592</v>
      </c>
      <c r="DM81" s="281">
        <v>76.639575324927847</v>
      </c>
      <c r="DN81" s="281">
        <v>89.105412916857688</v>
      </c>
      <c r="DO81" s="281">
        <v>146.61973760221639</v>
      </c>
      <c r="DP81" s="281">
        <v>150.09337583137827</v>
      </c>
      <c r="DQ81" s="281">
        <v>270.15662853937937</v>
      </c>
      <c r="DR81" s="281">
        <v>323.91896714990833</v>
      </c>
      <c r="DS81" s="281">
        <v>595.98978033463197</v>
      </c>
      <c r="DT81" s="281">
        <v>1031.4056010535085</v>
      </c>
      <c r="DU81" s="281">
        <v>343.52541422950662</v>
      </c>
      <c r="DV81" s="281">
        <v>351.7942718836216</v>
      </c>
      <c r="DW81" s="281">
        <v>290.8999254220804</v>
      </c>
      <c r="DX81" s="281">
        <v>501.10341474959671</v>
      </c>
      <c r="DY81" s="281">
        <v>371.39230274529399</v>
      </c>
      <c r="DZ81" s="281"/>
      <c r="EA81" s="281"/>
      <c r="EB81" s="281"/>
      <c r="EC81" s="281"/>
      <c r="ED81" s="281"/>
      <c r="EE81" s="281"/>
      <c r="EF81" s="281"/>
      <c r="EG81" s="281"/>
      <c r="EH81" s="281"/>
      <c r="EI81" s="281"/>
      <c r="EJ81" s="281">
        <v>3484.1830361492166</v>
      </c>
      <c r="EK81" s="281">
        <v>39268.027590883277</v>
      </c>
      <c r="EL81" s="281">
        <v>208930.67988678691</v>
      </c>
    </row>
    <row r="82" spans="1:142" x14ac:dyDescent="0.25">
      <c r="A82" s="279" t="s">
        <v>1579</v>
      </c>
      <c r="B82" s="281">
        <v>3927.9049649847839</v>
      </c>
      <c r="C82" s="281">
        <v>416.39250266174179</v>
      </c>
      <c r="D82" s="281">
        <v>44.498534251618018</v>
      </c>
      <c r="E82" s="281">
        <v>1700.7078154170219</v>
      </c>
      <c r="F82" s="281">
        <v>1266.7562210538081</v>
      </c>
      <c r="G82" s="281">
        <v>8918.9639648872217</v>
      </c>
      <c r="H82" s="281">
        <v>1678.0194626868965</v>
      </c>
      <c r="I82" s="281">
        <v>110.73272084283218</v>
      </c>
      <c r="J82" s="281">
        <v>132.81830580297867</v>
      </c>
      <c r="K82" s="281">
        <v>7.596048880105627E-2</v>
      </c>
      <c r="L82" s="281">
        <v>2388.9222576060838</v>
      </c>
      <c r="M82" s="281">
        <v>334.69379681465369</v>
      </c>
      <c r="N82" s="281">
        <v>557.79908278619394</v>
      </c>
      <c r="O82" s="281">
        <v>266.90328992938993</v>
      </c>
      <c r="P82" s="281">
        <v>39.965953148013881</v>
      </c>
      <c r="Q82" s="281">
        <v>44.275778142522164</v>
      </c>
      <c r="R82" s="281">
        <v>647.37467484470835</v>
      </c>
      <c r="S82" s="281">
        <v>2520.0033550931439</v>
      </c>
      <c r="T82" s="281">
        <v>2058.5882164877494</v>
      </c>
      <c r="U82" s="281">
        <v>3122.6753272004498</v>
      </c>
      <c r="V82" s="281">
        <v>9099.9054944275103</v>
      </c>
      <c r="W82" s="281">
        <v>12213.079357919189</v>
      </c>
      <c r="X82" s="281">
        <v>1074.0218291826393</v>
      </c>
      <c r="Y82" s="281">
        <v>724.85816112805719</v>
      </c>
      <c r="Z82" s="281">
        <v>34.246032581767487</v>
      </c>
      <c r="AA82" s="281">
        <v>752.88565677580732</v>
      </c>
      <c r="AB82" s="281">
        <v>920.37030323823865</v>
      </c>
      <c r="AC82" s="281">
        <v>75.094104962990556</v>
      </c>
      <c r="AD82" s="281">
        <v>914.08872097380697</v>
      </c>
      <c r="AE82" s="281">
        <v>306.62203769326663</v>
      </c>
      <c r="AF82" s="281">
        <v>319.75947861175314</v>
      </c>
      <c r="AG82" s="281">
        <v>73.286500758557636</v>
      </c>
      <c r="AH82" s="281">
        <v>1929.166822095621</v>
      </c>
      <c r="AI82" s="281">
        <v>33.665609842420793</v>
      </c>
      <c r="AJ82" s="281">
        <v>347.77729356453671</v>
      </c>
      <c r="AK82" s="281">
        <v>514.13515977080863</v>
      </c>
      <c r="AL82" s="478">
        <v>368.74045524232594</v>
      </c>
      <c r="AM82" s="281">
        <v>405.91485160589332</v>
      </c>
      <c r="AN82" s="281">
        <v>4918.4536296776223</v>
      </c>
      <c r="AO82" s="281">
        <v>2647.3476380465363</v>
      </c>
      <c r="AP82" s="281">
        <v>392.71229930829179</v>
      </c>
      <c r="AQ82" s="281">
        <v>30.096678356234168</v>
      </c>
      <c r="AR82" s="281">
        <v>393.93307840938701</v>
      </c>
      <c r="AS82" s="281">
        <v>348.47226663172211</v>
      </c>
      <c r="AT82" s="281">
        <v>411.11349240265702</v>
      </c>
      <c r="AU82" s="281">
        <v>1286.2490203970003</v>
      </c>
      <c r="AV82" s="281">
        <v>2075.332480142366</v>
      </c>
      <c r="AW82" s="281">
        <v>171.20723885895961</v>
      </c>
      <c r="AX82" s="281">
        <v>25022.224732401057</v>
      </c>
      <c r="AY82" s="281">
        <v>12226.334227803163</v>
      </c>
      <c r="AZ82" s="281">
        <v>7600.8827051472936</v>
      </c>
      <c r="BA82" s="281"/>
      <c r="BB82" s="281"/>
      <c r="BC82" s="281"/>
      <c r="BD82" s="281"/>
      <c r="BE82" s="281"/>
      <c r="BF82" s="281"/>
      <c r="BG82" s="281"/>
      <c r="BH82" s="281"/>
      <c r="BI82" s="281"/>
      <c r="BJ82" s="281"/>
      <c r="BK82" s="281"/>
      <c r="BL82" s="281"/>
      <c r="BM82" s="281"/>
      <c r="BN82" s="281"/>
      <c r="BO82" s="281"/>
      <c r="BP82" s="281"/>
      <c r="BQ82" s="281"/>
      <c r="BR82" s="281"/>
      <c r="BS82" s="281"/>
      <c r="BT82" s="281"/>
      <c r="BU82" s="281"/>
      <c r="BV82" s="281"/>
      <c r="BW82" s="281"/>
      <c r="BX82" s="281"/>
      <c r="BY82" s="281"/>
      <c r="BZ82" s="281"/>
      <c r="CA82" s="281"/>
      <c r="CB82" s="281"/>
      <c r="CC82" s="281"/>
      <c r="CD82" s="281"/>
      <c r="CE82" s="281"/>
      <c r="CF82" s="281"/>
      <c r="CG82" s="281"/>
      <c r="CH82" s="281"/>
      <c r="CI82" s="281"/>
      <c r="CJ82" s="281"/>
      <c r="CK82" s="281"/>
      <c r="CL82" s="281"/>
      <c r="CM82" s="281"/>
      <c r="CN82" s="281"/>
      <c r="CO82" s="281"/>
      <c r="CP82" s="281"/>
      <c r="CQ82" s="281"/>
      <c r="CR82" s="281"/>
      <c r="CS82" s="281"/>
      <c r="CT82" s="281"/>
      <c r="CU82" s="281"/>
      <c r="CV82" s="281"/>
      <c r="CW82" s="281"/>
      <c r="CX82" s="281"/>
      <c r="CY82" s="281"/>
      <c r="CZ82" s="281"/>
      <c r="DA82" s="281"/>
      <c r="DB82" s="281"/>
      <c r="DC82" s="281"/>
      <c r="DD82" s="281"/>
      <c r="DE82" s="281"/>
      <c r="DF82" s="281"/>
      <c r="DG82" s="281"/>
      <c r="DH82" s="281"/>
      <c r="DI82" s="281"/>
      <c r="DJ82" s="281"/>
      <c r="DK82" s="281"/>
      <c r="DL82" s="281">
        <v>2112.9132176777725</v>
      </c>
      <c r="DM82" s="281">
        <v>2806.2475703382538</v>
      </c>
      <c r="DN82" s="281">
        <v>3485.4524967766256</v>
      </c>
      <c r="DO82" s="281">
        <v>3720.3179272288271</v>
      </c>
      <c r="DP82" s="281">
        <v>4067.1813264837542</v>
      </c>
      <c r="DQ82" s="281">
        <v>4560.3107268848735</v>
      </c>
      <c r="DR82" s="281">
        <v>5355.3185784912093</v>
      </c>
      <c r="DS82" s="281">
        <v>6661.4104776038903</v>
      </c>
      <c r="DT82" s="281">
        <v>12311.925613791542</v>
      </c>
      <c r="DU82" s="281">
        <v>3243.5949658244313</v>
      </c>
      <c r="DV82" s="281">
        <v>3855.0588909944117</v>
      </c>
      <c r="DW82" s="281">
        <v>3946.0967541767873</v>
      </c>
      <c r="DX82" s="281">
        <v>5424.2347245026513</v>
      </c>
      <c r="DY82" s="281">
        <v>10046.968946465637</v>
      </c>
      <c r="DZ82" s="281"/>
      <c r="EA82" s="281"/>
      <c r="EB82" s="281"/>
      <c r="EC82" s="281"/>
      <c r="ED82" s="281"/>
      <c r="EE82" s="281"/>
      <c r="EF82" s="281"/>
      <c r="EG82" s="281"/>
      <c r="EH82" s="281"/>
      <c r="EI82" s="281"/>
      <c r="EJ82" s="281">
        <v>4293.5527219361929</v>
      </c>
      <c r="EK82" s="281">
        <v>13182.890712732333</v>
      </c>
      <c r="EL82" s="281">
        <v>206883.52519499723</v>
      </c>
    </row>
    <row r="83" spans="1:142" x14ac:dyDescent="0.25">
      <c r="A83" s="279" t="s">
        <v>1578</v>
      </c>
      <c r="B83" s="281">
        <v>432.24678391817605</v>
      </c>
      <c r="C83" s="281">
        <v>44.904669513168969</v>
      </c>
      <c r="D83" s="281">
        <v>6.0280131312759906</v>
      </c>
      <c r="E83" s="281">
        <v>832.95843799033037</v>
      </c>
      <c r="F83" s="281">
        <v>390.60157780444706</v>
      </c>
      <c r="G83" s="281">
        <v>2715.7243300058353</v>
      </c>
      <c r="H83" s="281">
        <v>450.22046575248464</v>
      </c>
      <c r="I83" s="281">
        <v>29.710106623001732</v>
      </c>
      <c r="J83" s="281">
        <v>35.635772307028766</v>
      </c>
      <c r="K83" s="281">
        <v>3.8729185617367959E-4</v>
      </c>
      <c r="L83" s="281"/>
      <c r="M83" s="281"/>
      <c r="N83" s="281">
        <v>15.086227588529569</v>
      </c>
      <c r="O83" s="281">
        <v>90.527561415043692</v>
      </c>
      <c r="P83" s="281">
        <v>0.98442316891709747</v>
      </c>
      <c r="Q83" s="281">
        <v>407.96705730326977</v>
      </c>
      <c r="R83" s="281">
        <v>108.88020290988277</v>
      </c>
      <c r="S83" s="281">
        <v>1.3098355788196354</v>
      </c>
      <c r="T83" s="281">
        <v>36.698255562754831</v>
      </c>
      <c r="U83" s="281"/>
      <c r="V83" s="281">
        <v>46.396743169626482</v>
      </c>
      <c r="W83" s="281">
        <v>66.84461785950694</v>
      </c>
      <c r="X83" s="281">
        <v>691.02558804539308</v>
      </c>
      <c r="Y83" s="281">
        <v>252.00445096749399</v>
      </c>
      <c r="Z83" s="281"/>
      <c r="AA83" s="281">
        <v>1.389252663239853</v>
      </c>
      <c r="AB83" s="281"/>
      <c r="AC83" s="281"/>
      <c r="AD83" s="281">
        <v>25.905480859363109</v>
      </c>
      <c r="AE83" s="281">
        <v>420.79139053936831</v>
      </c>
      <c r="AF83" s="281">
        <v>5.5592680444533817</v>
      </c>
      <c r="AG83" s="281">
        <v>63.423578945224413</v>
      </c>
      <c r="AH83" s="281">
        <v>2553.9296989964027</v>
      </c>
      <c r="AI83" s="281">
        <v>53.272633793181562</v>
      </c>
      <c r="AJ83" s="281">
        <v>66.851957335595387</v>
      </c>
      <c r="AK83" s="281">
        <v>753.55867477474658</v>
      </c>
      <c r="AL83" s="478">
        <v>8.9717370043377649</v>
      </c>
      <c r="AM83" s="281">
        <v>56.234633331108981</v>
      </c>
      <c r="AN83" s="281"/>
      <c r="AO83" s="281">
        <v>113.39796130335162</v>
      </c>
      <c r="AP83" s="281"/>
      <c r="AQ83" s="281">
        <v>62.545774070926441</v>
      </c>
      <c r="AR83" s="281">
        <v>818.70294953802033</v>
      </c>
      <c r="AS83" s="281">
        <v>724.23820705500952</v>
      </c>
      <c r="AT83" s="281">
        <v>854.59000698708553</v>
      </c>
      <c r="AU83" s="281">
        <v>2673.7520894877352</v>
      </c>
      <c r="AV83" s="281">
        <v>4314.2927640390844</v>
      </c>
      <c r="AW83" s="281">
        <v>49.197234003857588</v>
      </c>
      <c r="AX83" s="281">
        <v>424.0784426376544</v>
      </c>
      <c r="AY83" s="281">
        <v>553.63474667187813</v>
      </c>
      <c r="AZ83" s="281">
        <v>699.70757311011812</v>
      </c>
      <c r="BA83" s="281"/>
      <c r="BB83" s="281"/>
      <c r="BC83" s="281"/>
      <c r="BD83" s="281"/>
      <c r="BE83" s="281"/>
      <c r="BF83" s="281"/>
      <c r="BG83" s="281"/>
      <c r="BH83" s="281"/>
      <c r="BI83" s="281"/>
      <c r="BJ83" s="281"/>
      <c r="BK83" s="281"/>
      <c r="BL83" s="281"/>
      <c r="BM83" s="281"/>
      <c r="BN83" s="281"/>
      <c r="BO83" s="281"/>
      <c r="BP83" s="281"/>
      <c r="BQ83" s="281"/>
      <c r="BR83" s="281"/>
      <c r="BS83" s="281"/>
      <c r="BT83" s="281"/>
      <c r="BU83" s="281"/>
      <c r="BV83" s="281"/>
      <c r="BW83" s="281"/>
      <c r="BX83" s="281"/>
      <c r="BY83" s="281"/>
      <c r="BZ83" s="281"/>
      <c r="CA83" s="281"/>
      <c r="CB83" s="281"/>
      <c r="CC83" s="281"/>
      <c r="CD83" s="281"/>
      <c r="CE83" s="281"/>
      <c r="CF83" s="281"/>
      <c r="CG83" s="281"/>
      <c r="CH83" s="281"/>
      <c r="CI83" s="281"/>
      <c r="CJ83" s="281"/>
      <c r="CK83" s="281"/>
      <c r="CL83" s="281"/>
      <c r="CM83" s="281"/>
      <c r="CN83" s="281"/>
      <c r="CO83" s="281"/>
      <c r="CP83" s="281"/>
      <c r="CQ83" s="281"/>
      <c r="CR83" s="281"/>
      <c r="CS83" s="281"/>
      <c r="CT83" s="281"/>
      <c r="CU83" s="281"/>
      <c r="CV83" s="281"/>
      <c r="CW83" s="281"/>
      <c r="CX83" s="281"/>
      <c r="CY83" s="281"/>
      <c r="CZ83" s="281"/>
      <c r="DA83" s="281"/>
      <c r="DB83" s="281"/>
      <c r="DC83" s="281"/>
      <c r="DD83" s="281"/>
      <c r="DE83" s="281"/>
      <c r="DF83" s="281"/>
      <c r="DG83" s="281"/>
      <c r="DH83" s="281"/>
      <c r="DI83" s="281"/>
      <c r="DJ83" s="281"/>
      <c r="DK83" s="281"/>
      <c r="DL83" s="281">
        <v>6.2650627575099147</v>
      </c>
      <c r="DM83" s="281">
        <v>12.552741052699581</v>
      </c>
      <c r="DN83" s="281">
        <v>44.224706869401196</v>
      </c>
      <c r="DO83" s="281">
        <v>80.567196161835398</v>
      </c>
      <c r="DP83" s="281">
        <v>146.75329160073215</v>
      </c>
      <c r="DQ83" s="281">
        <v>242.90864432942368</v>
      </c>
      <c r="DR83" s="281">
        <v>622.29126998966433</v>
      </c>
      <c r="DS83" s="281">
        <v>982.48201174649807</v>
      </c>
      <c r="DT83" s="281">
        <v>2839.9743979180334</v>
      </c>
      <c r="DU83" s="281">
        <v>854.91152947606008</v>
      </c>
      <c r="DV83" s="281">
        <v>554.87107014011758</v>
      </c>
      <c r="DW83" s="281">
        <v>698.18539462237936</v>
      </c>
      <c r="DX83" s="281">
        <v>852.08819457571587</v>
      </c>
      <c r="DY83" s="281">
        <v>1324.8762478577348</v>
      </c>
      <c r="DZ83" s="281"/>
      <c r="EA83" s="281"/>
      <c r="EB83" s="281"/>
      <c r="EC83" s="281"/>
      <c r="ED83" s="281"/>
      <c r="EE83" s="281"/>
      <c r="EF83" s="281"/>
      <c r="EG83" s="281"/>
      <c r="EH83" s="281">
        <v>2.6071971813960095</v>
      </c>
      <c r="EI83" s="281">
        <v>0.13887756848476099</v>
      </c>
      <c r="EJ83" s="281">
        <v>419.08833584131958</v>
      </c>
      <c r="EK83" s="281">
        <v>3797.4468600677192</v>
      </c>
      <c r="EL83" s="281">
        <v>35436.014592855317</v>
      </c>
    </row>
    <row r="84" spans="1:142" x14ac:dyDescent="0.25">
      <c r="A84" s="279" t="s">
        <v>1577</v>
      </c>
      <c r="B84" s="281">
        <v>484.38408741090819</v>
      </c>
      <c r="C84" s="281">
        <v>51.610563380364759</v>
      </c>
      <c r="D84" s="281">
        <v>6.875014169944512</v>
      </c>
      <c r="E84" s="281">
        <v>255.17119650614262</v>
      </c>
      <c r="F84" s="281">
        <v>122.17730358587094</v>
      </c>
      <c r="G84" s="281">
        <v>1153.7553298366995</v>
      </c>
      <c r="H84" s="281">
        <v>237.00749379391701</v>
      </c>
      <c r="I84" s="281">
        <v>15.640155094457375</v>
      </c>
      <c r="J84" s="281">
        <v>18.759576088535351</v>
      </c>
      <c r="K84" s="281">
        <v>4.7119155612875101E-3</v>
      </c>
      <c r="L84" s="281">
        <v>8254.4282836124203</v>
      </c>
      <c r="M84" s="281">
        <v>3756.2325260270964</v>
      </c>
      <c r="N84" s="281">
        <v>516.54796619757792</v>
      </c>
      <c r="O84" s="281">
        <v>458.3442966356547</v>
      </c>
      <c r="P84" s="281">
        <v>41.421111764040617</v>
      </c>
      <c r="Q84" s="281">
        <v>101.96086492533595</v>
      </c>
      <c r="R84" s="281">
        <v>722.73022954024214</v>
      </c>
      <c r="S84" s="281">
        <v>591.47391162715394</v>
      </c>
      <c r="T84" s="281">
        <v>411.1183084664948</v>
      </c>
      <c r="U84" s="281">
        <v>283.27311104889804</v>
      </c>
      <c r="V84" s="281">
        <v>564.47749326281928</v>
      </c>
      <c r="W84" s="281">
        <v>5430.8154464039626</v>
      </c>
      <c r="X84" s="281">
        <v>327.95970134449749</v>
      </c>
      <c r="Y84" s="281">
        <v>1979.5457335840504</v>
      </c>
      <c r="Z84" s="281">
        <v>2758.2208945293669</v>
      </c>
      <c r="AA84" s="281">
        <v>245.93145931922177</v>
      </c>
      <c r="AB84" s="281">
        <v>218.99305111715393</v>
      </c>
      <c r="AC84" s="281">
        <v>71.149823237891113</v>
      </c>
      <c r="AD84" s="281">
        <v>400.23244766101163</v>
      </c>
      <c r="AE84" s="281">
        <v>659.86233853128999</v>
      </c>
      <c r="AF84" s="281">
        <v>1512.2388322688691</v>
      </c>
      <c r="AG84" s="281">
        <v>493.5729614559516</v>
      </c>
      <c r="AH84" s="281">
        <v>4156.5132876155903</v>
      </c>
      <c r="AI84" s="281">
        <v>22.974393002111483</v>
      </c>
      <c r="AJ84" s="281">
        <v>839.83395637141257</v>
      </c>
      <c r="AK84" s="281">
        <v>1154.2293364659033</v>
      </c>
      <c r="AL84" s="478">
        <v>13.290334224449923</v>
      </c>
      <c r="AM84" s="281">
        <v>12.628276382599458</v>
      </c>
      <c r="AN84" s="281">
        <v>11312.547052416179</v>
      </c>
      <c r="AO84" s="281">
        <v>12667.477764387148</v>
      </c>
      <c r="AP84" s="281"/>
      <c r="AQ84" s="281">
        <v>2.5104039774355766</v>
      </c>
      <c r="AR84" s="281">
        <v>34.104578855363769</v>
      </c>
      <c r="AS84" s="281">
        <v>92.794882116395954</v>
      </c>
      <c r="AT84" s="281">
        <v>120.73233594480054</v>
      </c>
      <c r="AU84" s="281">
        <v>377.7347416443917</v>
      </c>
      <c r="AV84" s="281">
        <v>368.70029475074824</v>
      </c>
      <c r="AW84" s="281"/>
      <c r="AX84" s="281">
        <v>1148.3314459734438</v>
      </c>
      <c r="AY84" s="281">
        <v>77.341183532835018</v>
      </c>
      <c r="AZ84" s="281">
        <v>3951.8128018498433</v>
      </c>
      <c r="BA84" s="281"/>
      <c r="BB84" s="281"/>
      <c r="BC84" s="281"/>
      <c r="BD84" s="281"/>
      <c r="BE84" s="281"/>
      <c r="BF84" s="281"/>
      <c r="BG84" s="281"/>
      <c r="BH84" s="281"/>
      <c r="BI84" s="281"/>
      <c r="BJ84" s="281"/>
      <c r="BK84" s="281"/>
      <c r="BL84" s="281"/>
      <c r="BM84" s="281"/>
      <c r="BN84" s="281"/>
      <c r="BO84" s="281"/>
      <c r="BP84" s="281"/>
      <c r="BQ84" s="281"/>
      <c r="BR84" s="281"/>
      <c r="BS84" s="281"/>
      <c r="BT84" s="281"/>
      <c r="BU84" s="281"/>
      <c r="BV84" s="281"/>
      <c r="BW84" s="281"/>
      <c r="BX84" s="281"/>
      <c r="BY84" s="281"/>
      <c r="BZ84" s="281"/>
      <c r="CA84" s="281"/>
      <c r="CB84" s="281"/>
      <c r="CC84" s="281"/>
      <c r="CD84" s="281"/>
      <c r="CE84" s="281"/>
      <c r="CF84" s="281"/>
      <c r="CG84" s="281"/>
      <c r="CH84" s="281"/>
      <c r="CI84" s="281"/>
      <c r="CJ84" s="281"/>
      <c r="CK84" s="281"/>
      <c r="CL84" s="281"/>
      <c r="CM84" s="281"/>
      <c r="CN84" s="281"/>
      <c r="CO84" s="281"/>
      <c r="CP84" s="281"/>
      <c r="CQ84" s="281"/>
      <c r="CR84" s="281"/>
      <c r="CS84" s="281"/>
      <c r="CT84" s="281"/>
      <c r="CU84" s="281"/>
      <c r="CV84" s="281"/>
      <c r="CW84" s="281"/>
      <c r="CX84" s="281"/>
      <c r="CY84" s="281"/>
      <c r="CZ84" s="281"/>
      <c r="DA84" s="281"/>
      <c r="DB84" s="281"/>
      <c r="DC84" s="281"/>
      <c r="DD84" s="281"/>
      <c r="DE84" s="281"/>
      <c r="DF84" s="281"/>
      <c r="DG84" s="281"/>
      <c r="DH84" s="281"/>
      <c r="DI84" s="281"/>
      <c r="DJ84" s="281"/>
      <c r="DK84" s="281"/>
      <c r="DL84" s="281">
        <v>64.052666624885902</v>
      </c>
      <c r="DM84" s="281">
        <v>102.84587426237344</v>
      </c>
      <c r="DN84" s="281">
        <v>149.45250206312608</v>
      </c>
      <c r="DO84" s="281">
        <v>161.28274923401312</v>
      </c>
      <c r="DP84" s="281">
        <v>220.13248805595225</v>
      </c>
      <c r="DQ84" s="281">
        <v>262.9827091436905</v>
      </c>
      <c r="DR84" s="281">
        <v>384.44647172051555</v>
      </c>
      <c r="DS84" s="281">
        <v>622.58900299790184</v>
      </c>
      <c r="DT84" s="281">
        <v>1080.6132166613638</v>
      </c>
      <c r="DU84" s="281">
        <v>237.17068986057114</v>
      </c>
      <c r="DV84" s="281">
        <v>417.43422379043227</v>
      </c>
      <c r="DW84" s="281">
        <v>328.64454167487929</v>
      </c>
      <c r="DX84" s="281">
        <v>574.28400772260693</v>
      </c>
      <c r="DY84" s="281">
        <v>413.69641268484781</v>
      </c>
      <c r="DZ84" s="281"/>
      <c r="EA84" s="281"/>
      <c r="EB84" s="281"/>
      <c r="EC84" s="281"/>
      <c r="ED84" s="281"/>
      <c r="EE84" s="281"/>
      <c r="EF84" s="281"/>
      <c r="EG84" s="281"/>
      <c r="EH84" s="281">
        <v>9.0427736632679014</v>
      </c>
      <c r="EI84" s="281">
        <v>0.48168141162236494</v>
      </c>
      <c r="EJ84" s="281">
        <v>815.55863786607949</v>
      </c>
      <c r="EK84" s="281">
        <v>3725.7091555941861</v>
      </c>
      <c r="EL84" s="281">
        <v>78069.893098886416</v>
      </c>
    </row>
    <row r="85" spans="1:142" x14ac:dyDescent="0.25">
      <c r="A85" s="279" t="s">
        <v>1576</v>
      </c>
      <c r="B85" s="281">
        <v>35.403241041053732</v>
      </c>
      <c r="C85" s="281">
        <v>3.9784998468058608</v>
      </c>
      <c r="D85" s="281"/>
      <c r="E85" s="281">
        <v>30.456165488605507</v>
      </c>
      <c r="F85" s="281">
        <v>13.008886383115954</v>
      </c>
      <c r="G85" s="281">
        <v>112.07317697428921</v>
      </c>
      <c r="H85" s="281">
        <v>20.034622493042967</v>
      </c>
      <c r="I85" s="281">
        <v>1.3220873232074088</v>
      </c>
      <c r="J85" s="281">
        <v>1.585776968681518</v>
      </c>
      <c r="K85" s="281">
        <v>7.8278891717857078E-5</v>
      </c>
      <c r="L85" s="281">
        <v>324.58688309779762</v>
      </c>
      <c r="M85" s="281">
        <v>3262.5204245808864</v>
      </c>
      <c r="N85" s="281">
        <v>1.0256970070455074</v>
      </c>
      <c r="O85" s="281"/>
      <c r="P85" s="281">
        <v>1.1327055088019976E-2</v>
      </c>
      <c r="Q85" s="281"/>
      <c r="R85" s="281">
        <v>129.2675212006861</v>
      </c>
      <c r="S85" s="281"/>
      <c r="T85" s="281">
        <v>25.296850246193088</v>
      </c>
      <c r="U85" s="281">
        <v>6.3808588205527075</v>
      </c>
      <c r="V85" s="281">
        <v>9.3776452480005439</v>
      </c>
      <c r="W85" s="281">
        <v>1319.8332186102555</v>
      </c>
      <c r="X85" s="281"/>
      <c r="Y85" s="281">
        <v>6.0344145064787824</v>
      </c>
      <c r="Z85" s="281">
        <v>2586.9588134907426</v>
      </c>
      <c r="AA85" s="281">
        <v>23.183153843580843</v>
      </c>
      <c r="AB85" s="281">
        <v>0.7450152379103776</v>
      </c>
      <c r="AC85" s="281">
        <v>0.89409366159482118</v>
      </c>
      <c r="AD85" s="281">
        <v>5.038949835195071</v>
      </c>
      <c r="AE85" s="281">
        <v>134.95058421086716</v>
      </c>
      <c r="AF85" s="281">
        <v>79.136889657958974</v>
      </c>
      <c r="AG85" s="281">
        <v>264.62595755535926</v>
      </c>
      <c r="AH85" s="281">
        <v>1275.6251321816776</v>
      </c>
      <c r="AI85" s="281">
        <v>107.72307135261511</v>
      </c>
      <c r="AJ85" s="281">
        <v>210.64454193364188</v>
      </c>
      <c r="AK85" s="281">
        <v>25.981050140387087</v>
      </c>
      <c r="AL85" s="478">
        <v>134.51740936335852</v>
      </c>
      <c r="AM85" s="281">
        <v>31.151244989715067</v>
      </c>
      <c r="AN85" s="281">
        <v>1461.3812400425779</v>
      </c>
      <c r="AO85" s="281">
        <v>57.373033371300011</v>
      </c>
      <c r="AP85" s="281">
        <v>64.371775349187118</v>
      </c>
      <c r="AQ85" s="281">
        <v>1.1284309293528358</v>
      </c>
      <c r="AR85" s="281">
        <v>14.770036530174776</v>
      </c>
      <c r="AS85" s="281">
        <v>13.06532129789659</v>
      </c>
      <c r="AT85" s="281">
        <v>15.414451572654226</v>
      </c>
      <c r="AU85" s="281">
        <v>48.227128522127188</v>
      </c>
      <c r="AV85" s="281">
        <v>77.813798603973268</v>
      </c>
      <c r="AW85" s="281"/>
      <c r="AX85" s="281">
        <v>91.027427631078567</v>
      </c>
      <c r="AY85" s="281">
        <v>409.99582860613742</v>
      </c>
      <c r="AZ85" s="281">
        <v>906.35869694120242</v>
      </c>
      <c r="BA85" s="281"/>
      <c r="BB85" s="281"/>
      <c r="BC85" s="281"/>
      <c r="BD85" s="281"/>
      <c r="BE85" s="281"/>
      <c r="BF85" s="281"/>
      <c r="BG85" s="281"/>
      <c r="BH85" s="281"/>
      <c r="BI85" s="281"/>
      <c r="BJ85" s="281"/>
      <c r="BK85" s="281"/>
      <c r="BL85" s="281"/>
      <c r="BM85" s="281"/>
      <c r="BN85" s="281"/>
      <c r="BO85" s="281"/>
      <c r="BP85" s="281"/>
      <c r="BQ85" s="281"/>
      <c r="BR85" s="281"/>
      <c r="BS85" s="281"/>
      <c r="BT85" s="281"/>
      <c r="BU85" s="281"/>
      <c r="BV85" s="281"/>
      <c r="BW85" s="281"/>
      <c r="BX85" s="281"/>
      <c r="BY85" s="281"/>
      <c r="BZ85" s="281"/>
      <c r="CA85" s="281"/>
      <c r="CB85" s="281"/>
      <c r="CC85" s="281"/>
      <c r="CD85" s="281"/>
      <c r="CE85" s="281"/>
      <c r="CF85" s="281"/>
      <c r="CG85" s="281"/>
      <c r="CH85" s="281"/>
      <c r="CI85" s="281"/>
      <c r="CJ85" s="281"/>
      <c r="CK85" s="281"/>
      <c r="CL85" s="281"/>
      <c r="CM85" s="281"/>
      <c r="CN85" s="281"/>
      <c r="CO85" s="281"/>
      <c r="CP85" s="281"/>
      <c r="CQ85" s="281"/>
      <c r="CR85" s="281"/>
      <c r="CS85" s="281"/>
      <c r="CT85" s="281"/>
      <c r="CU85" s="281"/>
      <c r="CV85" s="281"/>
      <c r="CW85" s="281"/>
      <c r="CX85" s="281"/>
      <c r="CY85" s="281"/>
      <c r="CZ85" s="281"/>
      <c r="DA85" s="281"/>
      <c r="DB85" s="281"/>
      <c r="DC85" s="281"/>
      <c r="DD85" s="281"/>
      <c r="DE85" s="281"/>
      <c r="DF85" s="281"/>
      <c r="DG85" s="281"/>
      <c r="DH85" s="281"/>
      <c r="DI85" s="281"/>
      <c r="DJ85" s="281"/>
      <c r="DK85" s="281"/>
      <c r="DL85" s="281">
        <v>66.249129930823685</v>
      </c>
      <c r="DM85" s="281">
        <v>128.19801773694982</v>
      </c>
      <c r="DN85" s="281">
        <v>138.23140993698328</v>
      </c>
      <c r="DO85" s="281">
        <v>149.37183013300893</v>
      </c>
      <c r="DP85" s="281">
        <v>276.98104890398889</v>
      </c>
      <c r="DQ85" s="281">
        <v>276.48941719252667</v>
      </c>
      <c r="DR85" s="281">
        <v>282.73003617306887</v>
      </c>
      <c r="DS85" s="281">
        <v>399.33567762147641</v>
      </c>
      <c r="DT85" s="281">
        <v>833.21768020253273</v>
      </c>
      <c r="DU85" s="281">
        <v>199.90881778873617</v>
      </c>
      <c r="DV85" s="281">
        <v>502.48865095850704</v>
      </c>
      <c r="DW85" s="281">
        <v>208.5361329371195</v>
      </c>
      <c r="DX85" s="281">
        <v>471.72223025898251</v>
      </c>
      <c r="DY85" s="281">
        <v>1345.9332866139582</v>
      </c>
      <c r="DZ85" s="281"/>
      <c r="EA85" s="281"/>
      <c r="EB85" s="281"/>
      <c r="EC85" s="281"/>
      <c r="ED85" s="281"/>
      <c r="EE85" s="281"/>
      <c r="EF85" s="281"/>
      <c r="EG85" s="281"/>
      <c r="EH85" s="281">
        <v>8.7735597530213427E-2</v>
      </c>
      <c r="EI85" s="281">
        <v>4.673411946552318E-3</v>
      </c>
      <c r="EJ85" s="281">
        <v>634.70993975255544</v>
      </c>
      <c r="EK85" s="281">
        <v>896.12599570709085</v>
      </c>
      <c r="EL85" s="281">
        <v>20154.622162880733</v>
      </c>
    </row>
    <row r="86" spans="1:142" x14ac:dyDescent="0.25">
      <c r="A86" s="279" t="s">
        <v>1575</v>
      </c>
      <c r="B86" s="281">
        <v>506.90175909044262</v>
      </c>
      <c r="C86" s="281">
        <v>56.885885678444239</v>
      </c>
      <c r="D86" s="281">
        <v>7.5910659358774675</v>
      </c>
      <c r="E86" s="281">
        <v>138.08436495305216</v>
      </c>
      <c r="F86" s="281">
        <v>69.078520790903525</v>
      </c>
      <c r="G86" s="281">
        <v>493.60037436373477</v>
      </c>
      <c r="H86" s="281">
        <v>213.64787774208827</v>
      </c>
      <c r="I86" s="281">
        <v>14.098651017310956</v>
      </c>
      <c r="J86" s="281">
        <v>16.910619805725613</v>
      </c>
      <c r="K86" s="281"/>
      <c r="L86" s="281"/>
      <c r="M86" s="281"/>
      <c r="N86" s="281">
        <v>0.11427456329725132</v>
      </c>
      <c r="O86" s="281"/>
      <c r="P86" s="281"/>
      <c r="Q86" s="281"/>
      <c r="R86" s="281">
        <v>51.007733415289735</v>
      </c>
      <c r="S86" s="281">
        <v>34.730093330018519</v>
      </c>
      <c r="T86" s="281">
        <v>0.98666255397209812</v>
      </c>
      <c r="U86" s="281">
        <v>98.234441721612313</v>
      </c>
      <c r="V86" s="281"/>
      <c r="W86" s="281">
        <v>257.38963557273223</v>
      </c>
      <c r="X86" s="281"/>
      <c r="Y86" s="281">
        <v>285.01236207123287</v>
      </c>
      <c r="Z86" s="281">
        <v>137.51445950970475</v>
      </c>
      <c r="AA86" s="281">
        <v>5041.4929779200875</v>
      </c>
      <c r="AB86" s="281">
        <v>272.26809296601567</v>
      </c>
      <c r="AC86" s="281">
        <v>16.793651818201699</v>
      </c>
      <c r="AD86" s="281">
        <v>94.068926722072291</v>
      </c>
      <c r="AE86" s="281">
        <v>75.138403425486842</v>
      </c>
      <c r="AF86" s="281">
        <v>39.440635990331302</v>
      </c>
      <c r="AG86" s="281"/>
      <c r="AH86" s="281">
        <v>1206.1694734223822</v>
      </c>
      <c r="AI86" s="281">
        <v>1.3424196662065804</v>
      </c>
      <c r="AJ86" s="281">
        <v>24.696154735882715</v>
      </c>
      <c r="AK86" s="281">
        <v>515.64369248183755</v>
      </c>
      <c r="AL86" s="478">
        <v>139.58137934052937</v>
      </c>
      <c r="AM86" s="281">
        <v>57.461245562783631</v>
      </c>
      <c r="AN86" s="281">
        <v>48695.670860780876</v>
      </c>
      <c r="AO86" s="281">
        <v>1058.2158833073941</v>
      </c>
      <c r="AP86" s="281">
        <v>179.93475870708761</v>
      </c>
      <c r="AQ86" s="281">
        <v>16.648190953543409</v>
      </c>
      <c r="AR86" s="281">
        <v>217.90892923493905</v>
      </c>
      <c r="AS86" s="281">
        <v>192.76009176900561</v>
      </c>
      <c r="AT86" s="281">
        <v>227.41957869378507</v>
      </c>
      <c r="AU86" s="281">
        <v>711.52666044703381</v>
      </c>
      <c r="AV86" s="281">
        <v>1148.0424723192316</v>
      </c>
      <c r="AW86" s="281">
        <v>7.348824087546399</v>
      </c>
      <c r="AX86" s="281">
        <v>696.41254475464189</v>
      </c>
      <c r="AY86" s="281">
        <v>1392.8608188832627</v>
      </c>
      <c r="AZ86" s="281">
        <v>5319.4444913288298</v>
      </c>
      <c r="BA86" s="281"/>
      <c r="BB86" s="281"/>
      <c r="BC86" s="281"/>
      <c r="BD86" s="281"/>
      <c r="BE86" s="281"/>
      <c r="BF86" s="281"/>
      <c r="BG86" s="281"/>
      <c r="BH86" s="281"/>
      <c r="BI86" s="281"/>
      <c r="BJ86" s="281"/>
      <c r="BK86" s="281"/>
      <c r="BL86" s="281"/>
      <c r="BM86" s="281"/>
      <c r="BN86" s="281"/>
      <c r="BO86" s="281"/>
      <c r="BP86" s="281"/>
      <c r="BQ86" s="281"/>
      <c r="BR86" s="281"/>
      <c r="BS86" s="281"/>
      <c r="BT86" s="281"/>
      <c r="BU86" s="281"/>
      <c r="BV86" s="281"/>
      <c r="BW86" s="281"/>
      <c r="BX86" s="281"/>
      <c r="BY86" s="281"/>
      <c r="BZ86" s="281"/>
      <c r="CA86" s="281"/>
      <c r="CB86" s="281"/>
      <c r="CC86" s="281"/>
      <c r="CD86" s="281"/>
      <c r="CE86" s="281"/>
      <c r="CF86" s="281"/>
      <c r="CG86" s="281"/>
      <c r="CH86" s="281"/>
      <c r="CI86" s="281"/>
      <c r="CJ86" s="281"/>
      <c r="CK86" s="281"/>
      <c r="CL86" s="281"/>
      <c r="CM86" s="281"/>
      <c r="CN86" s="281"/>
      <c r="CO86" s="281"/>
      <c r="CP86" s="281"/>
      <c r="CQ86" s="281"/>
      <c r="CR86" s="281"/>
      <c r="CS86" s="281"/>
      <c r="CT86" s="281"/>
      <c r="CU86" s="281"/>
      <c r="CV86" s="281"/>
      <c r="CW86" s="281"/>
      <c r="CX86" s="281"/>
      <c r="CY86" s="281"/>
      <c r="CZ86" s="281"/>
      <c r="DA86" s="281"/>
      <c r="DB86" s="281"/>
      <c r="DC86" s="281"/>
      <c r="DD86" s="281"/>
      <c r="DE86" s="281"/>
      <c r="DF86" s="281"/>
      <c r="DG86" s="281"/>
      <c r="DH86" s="281"/>
      <c r="DI86" s="281"/>
      <c r="DJ86" s="281"/>
      <c r="DK86" s="281"/>
      <c r="DL86" s="281">
        <v>40.590040356607737</v>
      </c>
      <c r="DM86" s="281">
        <v>6.2516432631061472</v>
      </c>
      <c r="DN86" s="281">
        <v>15.328976695426336</v>
      </c>
      <c r="DO86" s="281">
        <v>17.017023504441845</v>
      </c>
      <c r="DP86" s="281">
        <v>6.1288949219729174</v>
      </c>
      <c r="DQ86" s="281">
        <v>181.90068790654584</v>
      </c>
      <c r="DR86" s="281">
        <v>83.446876242235902</v>
      </c>
      <c r="DS86" s="281">
        <v>422.91621383889293</v>
      </c>
      <c r="DT86" s="281">
        <v>634.82531955313198</v>
      </c>
      <c r="DU86" s="281">
        <v>212.92068667429186</v>
      </c>
      <c r="DV86" s="281">
        <v>249.3025391843517</v>
      </c>
      <c r="DW86" s="281">
        <v>233.7460338422822</v>
      </c>
      <c r="DX86" s="281">
        <v>567.40332578228197</v>
      </c>
      <c r="DY86" s="281">
        <v>613.25946811773929</v>
      </c>
      <c r="DZ86" s="281"/>
      <c r="EA86" s="281"/>
      <c r="EB86" s="281"/>
      <c r="EC86" s="281"/>
      <c r="ED86" s="281"/>
      <c r="EE86" s="281"/>
      <c r="EF86" s="281"/>
      <c r="EG86" s="281"/>
      <c r="EH86" s="281">
        <v>13.695802948845223</v>
      </c>
      <c r="EI86" s="281">
        <v>0.72953431583705797</v>
      </c>
      <c r="EJ86" s="281">
        <v>1749.7542434355141</v>
      </c>
      <c r="EK86" s="281">
        <v>3394.044242001612</v>
      </c>
      <c r="EL86" s="281">
        <v>78173.341494019536</v>
      </c>
    </row>
    <row r="87" spans="1:142" x14ac:dyDescent="0.25">
      <c r="A87" s="279" t="s">
        <v>1574</v>
      </c>
      <c r="B87" s="281">
        <v>160.03652131689856</v>
      </c>
      <c r="C87" s="281">
        <v>16.350034544820165</v>
      </c>
      <c r="D87" s="281"/>
      <c r="E87" s="281">
        <v>122.25023653167042</v>
      </c>
      <c r="F87" s="281">
        <v>156.82225666015532</v>
      </c>
      <c r="G87" s="281">
        <v>1097.8186193493957</v>
      </c>
      <c r="H87" s="281">
        <v>245.76072918250674</v>
      </c>
      <c r="I87" s="281">
        <v>16.217782227103552</v>
      </c>
      <c r="J87" s="281">
        <v>19.452410659563267</v>
      </c>
      <c r="K87" s="281">
        <v>1.4487465509584762E-3</v>
      </c>
      <c r="L87" s="281"/>
      <c r="M87" s="281"/>
      <c r="N87" s="281">
        <v>140.96467459708023</v>
      </c>
      <c r="O87" s="281">
        <v>2.576767795573407</v>
      </c>
      <c r="P87" s="281">
        <v>2.7408529579376868</v>
      </c>
      <c r="Q87" s="281">
        <v>26.110584374789159</v>
      </c>
      <c r="R87" s="281">
        <v>393.93635067406444</v>
      </c>
      <c r="S87" s="281"/>
      <c r="T87" s="281">
        <v>2.2057833080772147</v>
      </c>
      <c r="U87" s="281">
        <v>125.4445635469859</v>
      </c>
      <c r="V87" s="281">
        <v>173.5567649337799</v>
      </c>
      <c r="W87" s="281">
        <v>179.75119466272852</v>
      </c>
      <c r="X87" s="281">
        <v>410.99004385833263</v>
      </c>
      <c r="Y87" s="281">
        <v>121.32663156415538</v>
      </c>
      <c r="Z87" s="281"/>
      <c r="AA87" s="281">
        <v>122.74009669730849</v>
      </c>
      <c r="AB87" s="281">
        <v>19797.440843785847</v>
      </c>
      <c r="AC87" s="281">
        <v>16285.940257899176</v>
      </c>
      <c r="AD87" s="281">
        <v>27599.507243409807</v>
      </c>
      <c r="AE87" s="281">
        <v>15398.129405640264</v>
      </c>
      <c r="AF87" s="281">
        <v>4228.5593353895456</v>
      </c>
      <c r="AG87" s="281">
        <v>364.94844162745812</v>
      </c>
      <c r="AH87" s="281">
        <v>17784.955891672809</v>
      </c>
      <c r="AI87" s="281">
        <v>1539.1798240696419</v>
      </c>
      <c r="AJ87" s="281">
        <v>545.14719240736406</v>
      </c>
      <c r="AK87" s="281">
        <v>361.81569544179837</v>
      </c>
      <c r="AL87" s="478">
        <v>930.73888495866345</v>
      </c>
      <c r="AM87" s="281">
        <v>152.39077847319734</v>
      </c>
      <c r="AN87" s="281">
        <v>16406.705907166568</v>
      </c>
      <c r="AO87" s="281"/>
      <c r="AP87" s="281"/>
      <c r="AQ87" s="281">
        <v>15.231111926663919</v>
      </c>
      <c r="AR87" s="281">
        <v>199.35063205943871</v>
      </c>
      <c r="AS87" s="281">
        <v>176.34553251076395</v>
      </c>
      <c r="AT87" s="281">
        <v>208.01393847615492</v>
      </c>
      <c r="AU87" s="281">
        <v>650.81231712974773</v>
      </c>
      <c r="AV87" s="281">
        <v>1050.025332897259</v>
      </c>
      <c r="AW87" s="281"/>
      <c r="AX87" s="281">
        <v>4.8775598743189077</v>
      </c>
      <c r="AY87" s="281">
        <v>280.84614965208391</v>
      </c>
      <c r="AZ87" s="281">
        <v>1543.3303163938267</v>
      </c>
      <c r="BA87" s="281"/>
      <c r="BB87" s="281"/>
      <c r="BC87" s="281"/>
      <c r="BD87" s="281"/>
      <c r="BE87" s="281"/>
      <c r="BF87" s="281"/>
      <c r="BG87" s="281"/>
      <c r="BH87" s="281"/>
      <c r="BI87" s="281"/>
      <c r="BJ87" s="281"/>
      <c r="BK87" s="281"/>
      <c r="BL87" s="281"/>
      <c r="BM87" s="281"/>
      <c r="BN87" s="281"/>
      <c r="BO87" s="281"/>
      <c r="BP87" s="281"/>
      <c r="BQ87" s="281"/>
      <c r="BR87" s="281"/>
      <c r="BS87" s="281"/>
      <c r="BT87" s="281"/>
      <c r="BU87" s="281"/>
      <c r="BV87" s="281"/>
      <c r="BW87" s="281"/>
      <c r="BX87" s="281"/>
      <c r="BY87" s="281"/>
      <c r="BZ87" s="281"/>
      <c r="CA87" s="281"/>
      <c r="CB87" s="281"/>
      <c r="CC87" s="281"/>
      <c r="CD87" s="281"/>
      <c r="CE87" s="281"/>
      <c r="CF87" s="281"/>
      <c r="CG87" s="281"/>
      <c r="CH87" s="281"/>
      <c r="CI87" s="281"/>
      <c r="CJ87" s="281"/>
      <c r="CK87" s="281"/>
      <c r="CL87" s="281"/>
      <c r="CM87" s="281"/>
      <c r="CN87" s="281"/>
      <c r="CO87" s="281"/>
      <c r="CP87" s="281"/>
      <c r="CQ87" s="281"/>
      <c r="CR87" s="281"/>
      <c r="CS87" s="281"/>
      <c r="CT87" s="281"/>
      <c r="CU87" s="281"/>
      <c r="CV87" s="281"/>
      <c r="CW87" s="281"/>
      <c r="CX87" s="281"/>
      <c r="CY87" s="281"/>
      <c r="CZ87" s="281"/>
      <c r="DA87" s="281"/>
      <c r="DB87" s="281"/>
      <c r="DC87" s="281"/>
      <c r="DD87" s="281"/>
      <c r="DE87" s="281"/>
      <c r="DF87" s="281"/>
      <c r="DG87" s="281"/>
      <c r="DH87" s="281"/>
      <c r="DI87" s="281"/>
      <c r="DJ87" s="281"/>
      <c r="DK87" s="281"/>
      <c r="DL87" s="281"/>
      <c r="DM87" s="281"/>
      <c r="DN87" s="281"/>
      <c r="DO87" s="281"/>
      <c r="DP87" s="281"/>
      <c r="DQ87" s="281"/>
      <c r="DR87" s="281"/>
      <c r="DS87" s="281"/>
      <c r="DT87" s="281"/>
      <c r="DU87" s="281"/>
      <c r="DV87" s="281"/>
      <c r="DW87" s="281"/>
      <c r="DX87" s="281"/>
      <c r="DY87" s="281"/>
      <c r="DZ87" s="281"/>
      <c r="EA87" s="281"/>
      <c r="EB87" s="281"/>
      <c r="EC87" s="281"/>
      <c r="ED87" s="281"/>
      <c r="EE87" s="281"/>
      <c r="EF87" s="281"/>
      <c r="EG87" s="281"/>
      <c r="EH87" s="281"/>
      <c r="EI87" s="281"/>
      <c r="EJ87" s="281">
        <v>9705.3618353581223</v>
      </c>
      <c r="EK87" s="281">
        <v>69556.185133179315</v>
      </c>
      <c r="EL87" s="281">
        <v>208322.89390958933</v>
      </c>
    </row>
    <row r="88" spans="1:142" x14ac:dyDescent="0.25">
      <c r="A88" s="279" t="s">
        <v>1573</v>
      </c>
      <c r="B88" s="281">
        <v>50.239019869701629</v>
      </c>
      <c r="C88" s="281">
        <v>5.0179351827354894</v>
      </c>
      <c r="D88" s="281"/>
      <c r="E88" s="281">
        <v>41.394136314321933</v>
      </c>
      <c r="F88" s="281">
        <v>54.698484198590521</v>
      </c>
      <c r="G88" s="281">
        <v>377.65766260958878</v>
      </c>
      <c r="H88" s="281">
        <v>112.17602232361995</v>
      </c>
      <c r="I88" s="281">
        <v>7.4025101862233118</v>
      </c>
      <c r="J88" s="281">
        <v>8.878937085082157</v>
      </c>
      <c r="K88" s="281">
        <v>4.4859334166790351E-3</v>
      </c>
      <c r="L88" s="281">
        <v>2.4370794340845587</v>
      </c>
      <c r="M88" s="281"/>
      <c r="N88" s="281">
        <v>97.621261818120715</v>
      </c>
      <c r="O88" s="281"/>
      <c r="P88" s="281"/>
      <c r="Q88" s="281"/>
      <c r="R88" s="281">
        <v>152.631417137081</v>
      </c>
      <c r="S88" s="281">
        <v>123.98963460007597</v>
      </c>
      <c r="T88" s="281">
        <v>153.31273822118663</v>
      </c>
      <c r="U88" s="281">
        <v>280.4696099476854</v>
      </c>
      <c r="V88" s="281">
        <v>537.40531150328616</v>
      </c>
      <c r="W88" s="281">
        <v>212.53617120960001</v>
      </c>
      <c r="X88" s="281"/>
      <c r="Y88" s="281">
        <v>164.17524813581883</v>
      </c>
      <c r="Z88" s="281">
        <v>0.69528458629276679</v>
      </c>
      <c r="AA88" s="281">
        <v>89.360507726084606</v>
      </c>
      <c r="AB88" s="281">
        <v>19639.386495989813</v>
      </c>
      <c r="AC88" s="281">
        <v>9639.0489040265747</v>
      </c>
      <c r="AD88" s="281">
        <v>12797.345069578754</v>
      </c>
      <c r="AE88" s="281">
        <v>1537.3086077697074</v>
      </c>
      <c r="AF88" s="281">
        <v>8673.6500881317043</v>
      </c>
      <c r="AG88" s="281">
        <v>155.12736876339807</v>
      </c>
      <c r="AH88" s="281">
        <v>15093.40487107706</v>
      </c>
      <c r="AI88" s="281">
        <v>12.961445548466457</v>
      </c>
      <c r="AJ88" s="281">
        <v>409.77843715049283</v>
      </c>
      <c r="AK88" s="281">
        <v>796.46821482705616</v>
      </c>
      <c r="AL88" s="478"/>
      <c r="AM88" s="281">
        <v>69.087448150953222</v>
      </c>
      <c r="AN88" s="281"/>
      <c r="AO88" s="281"/>
      <c r="AP88" s="281"/>
      <c r="AQ88" s="281">
        <v>0.3720844499793427</v>
      </c>
      <c r="AR88" s="281">
        <v>4.8702571991157333</v>
      </c>
      <c r="AS88" s="281">
        <v>4.3081383337277588</v>
      </c>
      <c r="AT88" s="281">
        <v>5.0829035189471412</v>
      </c>
      <c r="AU88" s="281">
        <v>15.902858438941305</v>
      </c>
      <c r="AV88" s="281">
        <v>25.659271998375527</v>
      </c>
      <c r="AW88" s="281"/>
      <c r="AX88" s="281">
        <v>0.13048688012349549</v>
      </c>
      <c r="AY88" s="281">
        <v>81.564959395776498</v>
      </c>
      <c r="AZ88" s="281">
        <v>168.83598956819714</v>
      </c>
      <c r="BA88" s="281"/>
      <c r="BB88" s="281"/>
      <c r="BC88" s="281"/>
      <c r="BD88" s="281"/>
      <c r="BE88" s="281"/>
      <c r="BF88" s="281"/>
      <c r="BG88" s="281"/>
      <c r="BH88" s="281"/>
      <c r="BI88" s="281"/>
      <c r="BJ88" s="281"/>
      <c r="BK88" s="281"/>
      <c r="BL88" s="281"/>
      <c r="BM88" s="281"/>
      <c r="BN88" s="281"/>
      <c r="BO88" s="281"/>
      <c r="BP88" s="281"/>
      <c r="BQ88" s="281"/>
      <c r="BR88" s="281"/>
      <c r="BS88" s="281"/>
      <c r="BT88" s="281"/>
      <c r="BU88" s="281"/>
      <c r="BV88" s="281"/>
      <c r="BW88" s="281"/>
      <c r="BX88" s="281"/>
      <c r="BY88" s="281"/>
      <c r="BZ88" s="281"/>
      <c r="CA88" s="281"/>
      <c r="CB88" s="281"/>
      <c r="CC88" s="281"/>
      <c r="CD88" s="281"/>
      <c r="CE88" s="281"/>
      <c r="CF88" s="281"/>
      <c r="CG88" s="281"/>
      <c r="CH88" s="281"/>
      <c r="CI88" s="281"/>
      <c r="CJ88" s="281"/>
      <c r="CK88" s="281"/>
      <c r="CL88" s="281"/>
      <c r="CM88" s="281"/>
      <c r="CN88" s="281"/>
      <c r="CO88" s="281"/>
      <c r="CP88" s="281"/>
      <c r="CQ88" s="281"/>
      <c r="CR88" s="281"/>
      <c r="CS88" s="281"/>
      <c r="CT88" s="281"/>
      <c r="CU88" s="281"/>
      <c r="CV88" s="281"/>
      <c r="CW88" s="281"/>
      <c r="CX88" s="281"/>
      <c r="CY88" s="281"/>
      <c r="CZ88" s="281"/>
      <c r="DA88" s="281"/>
      <c r="DB88" s="281"/>
      <c r="DC88" s="281"/>
      <c r="DD88" s="281"/>
      <c r="DE88" s="281"/>
      <c r="DF88" s="281"/>
      <c r="DG88" s="281"/>
      <c r="DH88" s="281"/>
      <c r="DI88" s="281"/>
      <c r="DJ88" s="281"/>
      <c r="DK88" s="281"/>
      <c r="DL88" s="281"/>
      <c r="DM88" s="281"/>
      <c r="DN88" s="281"/>
      <c r="DO88" s="281"/>
      <c r="DP88" s="281"/>
      <c r="DQ88" s="281"/>
      <c r="DR88" s="281"/>
      <c r="DS88" s="281"/>
      <c r="DT88" s="281"/>
      <c r="DU88" s="281"/>
      <c r="DV88" s="281"/>
      <c r="DW88" s="281"/>
      <c r="DX88" s="281"/>
      <c r="DY88" s="281"/>
      <c r="DZ88" s="281"/>
      <c r="EA88" s="281"/>
      <c r="EB88" s="281"/>
      <c r="EC88" s="281"/>
      <c r="ED88" s="281"/>
      <c r="EE88" s="281"/>
      <c r="EF88" s="281"/>
      <c r="EG88" s="281"/>
      <c r="EH88" s="281">
        <v>247.8103708593197</v>
      </c>
      <c r="EI88" s="281">
        <v>13.200114665597216</v>
      </c>
      <c r="EJ88" s="281">
        <v>-6958.3562415100823</v>
      </c>
      <c r="EK88" s="281">
        <v>56749.155386442791</v>
      </c>
      <c r="EL88" s="281">
        <v>121654.2069892774</v>
      </c>
    </row>
    <row r="89" spans="1:142" x14ac:dyDescent="0.25">
      <c r="A89" s="279" t="s">
        <v>1572</v>
      </c>
      <c r="B89" s="281">
        <v>4518.7848248471419</v>
      </c>
      <c r="C89" s="281">
        <v>470.50086942461263</v>
      </c>
      <c r="D89" s="281">
        <v>43.75306339556073</v>
      </c>
      <c r="E89" s="281">
        <v>1467.470574014086</v>
      </c>
      <c r="F89" s="281">
        <v>954.53967015139915</v>
      </c>
      <c r="G89" s="281">
        <v>6710.2502477788594</v>
      </c>
      <c r="H89" s="281">
        <v>1643.4661488117465</v>
      </c>
      <c r="I89" s="281">
        <v>108.45254320210022</v>
      </c>
      <c r="J89" s="281">
        <v>130.08334788930384</v>
      </c>
      <c r="K89" s="281">
        <v>8.1078324359643208E-3</v>
      </c>
      <c r="L89" s="281"/>
      <c r="M89" s="281">
        <v>36.746772348233833</v>
      </c>
      <c r="N89" s="281">
        <v>34.393385768043757</v>
      </c>
      <c r="O89" s="281">
        <v>64.795312474715587</v>
      </c>
      <c r="P89" s="281">
        <v>96.59082182852346</v>
      </c>
      <c r="Q89" s="281">
        <v>100.06018184601878</v>
      </c>
      <c r="R89" s="281">
        <v>499.23720380890063</v>
      </c>
      <c r="S89" s="281">
        <v>2092.5290861872286</v>
      </c>
      <c r="T89" s="281">
        <v>341.96482889097558</v>
      </c>
      <c r="U89" s="281"/>
      <c r="V89" s="281">
        <v>971.30113426683693</v>
      </c>
      <c r="W89" s="281">
        <v>75.947261651563281</v>
      </c>
      <c r="X89" s="281">
        <v>219.63906040057861</v>
      </c>
      <c r="Y89" s="281">
        <v>1619.9363932722804</v>
      </c>
      <c r="Z89" s="281"/>
      <c r="AA89" s="281">
        <v>138.74428060443489</v>
      </c>
      <c r="AB89" s="281">
        <v>1561.635373592163</v>
      </c>
      <c r="AC89" s="281">
        <v>1.7127106530016389</v>
      </c>
      <c r="AD89" s="281">
        <v>4666.5399160628767</v>
      </c>
      <c r="AE89" s="281">
        <v>12460.129631715641</v>
      </c>
      <c r="AF89" s="281">
        <v>1866.17431181897</v>
      </c>
      <c r="AG89" s="281">
        <v>161.59785946708635</v>
      </c>
      <c r="AH89" s="281">
        <v>5601.768370020558</v>
      </c>
      <c r="AI89" s="281">
        <v>307.02852413575033</v>
      </c>
      <c r="AJ89" s="281">
        <v>1776.8048216508755</v>
      </c>
      <c r="AK89" s="281">
        <v>1226.5421250594957</v>
      </c>
      <c r="AL89" s="478">
        <v>1075.2227787528366</v>
      </c>
      <c r="AM89" s="281">
        <v>542.04754593253256</v>
      </c>
      <c r="AN89" s="281">
        <v>33972.597364492634</v>
      </c>
      <c r="AO89" s="281">
        <v>4968.9335863095048</v>
      </c>
      <c r="AP89" s="281">
        <v>205.01819560776636</v>
      </c>
      <c r="AQ89" s="281">
        <v>11.388682124100932</v>
      </c>
      <c r="AR89" s="281">
        <v>149.06671520499651</v>
      </c>
      <c r="AS89" s="281">
        <v>131.86290929036514</v>
      </c>
      <c r="AT89" s="281">
        <v>155.57172806982615</v>
      </c>
      <c r="AU89" s="281">
        <v>486.73659835832996</v>
      </c>
      <c r="AV89" s="281">
        <v>785.34408230161966</v>
      </c>
      <c r="AW89" s="281">
        <v>87.199395936727726</v>
      </c>
      <c r="AX89" s="281">
        <v>4148.9138240733992</v>
      </c>
      <c r="AY89" s="281">
        <v>3223.8833111555082</v>
      </c>
      <c r="AZ89" s="281">
        <v>7582.3962639829451</v>
      </c>
      <c r="BA89" s="281"/>
      <c r="BB89" s="281"/>
      <c r="BC89" s="281"/>
      <c r="BD89" s="281"/>
      <c r="BE89" s="281"/>
      <c r="BF89" s="281"/>
      <c r="BG89" s="281"/>
      <c r="BH89" s="281"/>
      <c r="BI89" s="281"/>
      <c r="BJ89" s="281"/>
      <c r="BK89" s="281"/>
      <c r="BL89" s="281"/>
      <c r="BM89" s="281"/>
      <c r="BN89" s="281"/>
      <c r="BO89" s="281"/>
      <c r="BP89" s="281"/>
      <c r="BQ89" s="281"/>
      <c r="BR89" s="281"/>
      <c r="BS89" s="281"/>
      <c r="BT89" s="281"/>
      <c r="BU89" s="281"/>
      <c r="BV89" s="281"/>
      <c r="BW89" s="281"/>
      <c r="BX89" s="281"/>
      <c r="BY89" s="281"/>
      <c r="BZ89" s="281"/>
      <c r="CA89" s="281"/>
      <c r="CB89" s="281"/>
      <c r="CC89" s="281"/>
      <c r="CD89" s="281"/>
      <c r="CE89" s="281"/>
      <c r="CF89" s="281"/>
      <c r="CG89" s="281"/>
      <c r="CH89" s="281"/>
      <c r="CI89" s="281"/>
      <c r="CJ89" s="281"/>
      <c r="CK89" s="281"/>
      <c r="CL89" s="281"/>
      <c r="CM89" s="281"/>
      <c r="CN89" s="281"/>
      <c r="CO89" s="281"/>
      <c r="CP89" s="281"/>
      <c r="CQ89" s="281"/>
      <c r="CR89" s="281"/>
      <c r="CS89" s="281"/>
      <c r="CT89" s="281"/>
      <c r="CU89" s="281"/>
      <c r="CV89" s="281"/>
      <c r="CW89" s="281"/>
      <c r="CX89" s="281"/>
      <c r="CY89" s="281"/>
      <c r="CZ89" s="281"/>
      <c r="DA89" s="281"/>
      <c r="DB89" s="281"/>
      <c r="DC89" s="281"/>
      <c r="DD89" s="281"/>
      <c r="DE89" s="281"/>
      <c r="DF89" s="281"/>
      <c r="DG89" s="281"/>
      <c r="DH89" s="281"/>
      <c r="DI89" s="281"/>
      <c r="DJ89" s="281"/>
      <c r="DK89" s="281"/>
      <c r="DL89" s="281">
        <v>137.78810339773548</v>
      </c>
      <c r="DM89" s="281">
        <v>193.06189737543747</v>
      </c>
      <c r="DN89" s="281">
        <v>249.1177503481866</v>
      </c>
      <c r="DO89" s="281">
        <v>276.61646287827756</v>
      </c>
      <c r="DP89" s="281">
        <v>301.29827995352196</v>
      </c>
      <c r="DQ89" s="281">
        <v>466.29523686772922</v>
      </c>
      <c r="DR89" s="281">
        <v>401.25014105418722</v>
      </c>
      <c r="DS89" s="281">
        <v>692.5449701190463</v>
      </c>
      <c r="DT89" s="281">
        <v>1399.1619747839368</v>
      </c>
      <c r="DU89" s="281">
        <v>237.77253763416809</v>
      </c>
      <c r="DV89" s="281">
        <v>521.6652525169078</v>
      </c>
      <c r="DW89" s="281">
        <v>277.97189285224317</v>
      </c>
      <c r="DX89" s="281">
        <v>855.20694640892725</v>
      </c>
      <c r="DY89" s="281">
        <v>1442.2833602275439</v>
      </c>
      <c r="DZ89" s="281"/>
      <c r="EA89" s="281"/>
      <c r="EB89" s="281"/>
      <c r="EC89" s="281"/>
      <c r="ED89" s="281"/>
      <c r="EE89" s="281"/>
      <c r="EF89" s="281"/>
      <c r="EG89" s="281"/>
      <c r="EH89" s="281">
        <v>814.3273879279169</v>
      </c>
      <c r="EI89" s="281">
        <v>43.376775793160924</v>
      </c>
      <c r="EJ89" s="281">
        <v>5361.7253204164581</v>
      </c>
      <c r="EK89" s="281">
        <v>15223.124761063049</v>
      </c>
      <c r="EL89" s="281">
        <v>138389.90079808357</v>
      </c>
    </row>
    <row r="90" spans="1:142" x14ac:dyDescent="0.25">
      <c r="A90" s="279" t="s">
        <v>1571</v>
      </c>
      <c r="B90" s="281">
        <v>3707.7735318119849</v>
      </c>
      <c r="C90" s="281">
        <v>392.56717599775789</v>
      </c>
      <c r="D90" s="281">
        <v>37.254310478135089</v>
      </c>
      <c r="E90" s="281">
        <v>2667.4662820243807</v>
      </c>
      <c r="F90" s="281">
        <v>1788.9213915428616</v>
      </c>
      <c r="G90" s="281">
        <v>12603.808030595728</v>
      </c>
      <c r="H90" s="281">
        <v>2284.8949561468457</v>
      </c>
      <c r="I90" s="281">
        <v>150.78051295607281</v>
      </c>
      <c r="J90" s="281">
        <v>180.85360972348937</v>
      </c>
      <c r="K90" s="281">
        <v>1.879550172518185E-5</v>
      </c>
      <c r="L90" s="281">
        <v>19.667231235183742</v>
      </c>
      <c r="M90" s="281"/>
      <c r="N90" s="281">
        <v>2.6695325040263024E-2</v>
      </c>
      <c r="O90" s="281"/>
      <c r="P90" s="281"/>
      <c r="Q90" s="281"/>
      <c r="R90" s="281">
        <v>40.165212568704852</v>
      </c>
      <c r="S90" s="281"/>
      <c r="T90" s="281">
        <v>0.41618930272233462</v>
      </c>
      <c r="U90" s="281"/>
      <c r="V90" s="281">
        <v>2.2516612533584133</v>
      </c>
      <c r="W90" s="281">
        <v>328.65295163891847</v>
      </c>
      <c r="X90" s="281">
        <v>0.85929314084637365</v>
      </c>
      <c r="Y90" s="281">
        <v>17.825705302116354</v>
      </c>
      <c r="Z90" s="281"/>
      <c r="AA90" s="281"/>
      <c r="AB90" s="281">
        <v>495.43806745302959</v>
      </c>
      <c r="AC90" s="281">
        <v>10.94343311723698</v>
      </c>
      <c r="AD90" s="281">
        <v>1676.9395022293484</v>
      </c>
      <c r="AE90" s="281">
        <v>9247.0002502149091</v>
      </c>
      <c r="AF90" s="281">
        <v>6108.2567899499927</v>
      </c>
      <c r="AG90" s="281">
        <v>331.87918766876635</v>
      </c>
      <c r="AH90" s="281">
        <v>4112.5231759183107</v>
      </c>
      <c r="AI90" s="281">
        <v>2424.3838568113479</v>
      </c>
      <c r="AJ90" s="281">
        <v>4.8287073066653914</v>
      </c>
      <c r="AK90" s="281">
        <v>31.486385985912079</v>
      </c>
      <c r="AL90" s="478">
        <v>489.53653180356565</v>
      </c>
      <c r="AM90" s="281">
        <v>520.42261982649291</v>
      </c>
      <c r="AN90" s="281">
        <v>2408.5001936042854</v>
      </c>
      <c r="AO90" s="281">
        <v>4937.0120512665044</v>
      </c>
      <c r="AP90" s="281">
        <v>21.38215912296468</v>
      </c>
      <c r="AQ90" s="281">
        <v>11.15283085054531</v>
      </c>
      <c r="AR90" s="281">
        <v>145.98068998384784</v>
      </c>
      <c r="AS90" s="281">
        <v>129.132417298246</v>
      </c>
      <c r="AT90" s="281">
        <v>152.35469772746413</v>
      </c>
      <c r="AU90" s="281">
        <v>476.67148932416137</v>
      </c>
      <c r="AV90" s="281">
        <v>769.10971984775165</v>
      </c>
      <c r="AW90" s="281">
        <v>42.06974776715284</v>
      </c>
      <c r="AX90" s="281">
        <v>9563.5234800465314</v>
      </c>
      <c r="AY90" s="281">
        <v>5221.134084970241</v>
      </c>
      <c r="AZ90" s="281">
        <v>1982.6711940680682</v>
      </c>
      <c r="BA90" s="281"/>
      <c r="BB90" s="281"/>
      <c r="BC90" s="281"/>
      <c r="BD90" s="281"/>
      <c r="BE90" s="281"/>
      <c r="BF90" s="281"/>
      <c r="BG90" s="281"/>
      <c r="BH90" s="281"/>
      <c r="BI90" s="281"/>
      <c r="BJ90" s="281"/>
      <c r="BK90" s="281"/>
      <c r="BL90" s="281"/>
      <c r="BM90" s="281"/>
      <c r="BN90" s="281"/>
      <c r="BO90" s="281"/>
      <c r="BP90" s="281"/>
      <c r="BQ90" s="281"/>
      <c r="BR90" s="281"/>
      <c r="BS90" s="281"/>
      <c r="BT90" s="281"/>
      <c r="BU90" s="281"/>
      <c r="BV90" s="281"/>
      <c r="BW90" s="281"/>
      <c r="BX90" s="281"/>
      <c r="BY90" s="281"/>
      <c r="BZ90" s="281"/>
      <c r="CA90" s="281"/>
      <c r="CB90" s="281"/>
      <c r="CC90" s="281"/>
      <c r="CD90" s="281"/>
      <c r="CE90" s="281"/>
      <c r="CF90" s="281"/>
      <c r="CG90" s="281"/>
      <c r="CH90" s="281"/>
      <c r="CI90" s="281"/>
      <c r="CJ90" s="281"/>
      <c r="CK90" s="281"/>
      <c r="CL90" s="281"/>
      <c r="CM90" s="281"/>
      <c r="CN90" s="281"/>
      <c r="CO90" s="281"/>
      <c r="CP90" s="281"/>
      <c r="CQ90" s="281"/>
      <c r="CR90" s="281"/>
      <c r="CS90" s="281"/>
      <c r="CT90" s="281"/>
      <c r="CU90" s="281"/>
      <c r="CV90" s="281"/>
      <c r="CW90" s="281"/>
      <c r="CX90" s="281"/>
      <c r="CY90" s="281"/>
      <c r="CZ90" s="281"/>
      <c r="DA90" s="281"/>
      <c r="DB90" s="281"/>
      <c r="DC90" s="281"/>
      <c r="DD90" s="281"/>
      <c r="DE90" s="281"/>
      <c r="DF90" s="281"/>
      <c r="DG90" s="281"/>
      <c r="DH90" s="281"/>
      <c r="DI90" s="281"/>
      <c r="DJ90" s="281"/>
      <c r="DK90" s="281"/>
      <c r="DL90" s="281">
        <v>17.550656009312469</v>
      </c>
      <c r="DM90" s="281">
        <v>38.451760358388455</v>
      </c>
      <c r="DN90" s="281">
        <v>73.813582972250259</v>
      </c>
      <c r="DO90" s="281">
        <v>103.84730204578619</v>
      </c>
      <c r="DP90" s="281">
        <v>154.84918507558123</v>
      </c>
      <c r="DQ90" s="281">
        <v>203.60402969391902</v>
      </c>
      <c r="DR90" s="281">
        <v>261.97888964711206</v>
      </c>
      <c r="DS90" s="281">
        <v>575.26998374683149</v>
      </c>
      <c r="DT90" s="281">
        <v>1814.8673565101567</v>
      </c>
      <c r="DU90" s="281">
        <v>673.72092302243527</v>
      </c>
      <c r="DV90" s="281">
        <v>448.29788812380798</v>
      </c>
      <c r="DW90" s="281">
        <v>715.74492221851688</v>
      </c>
      <c r="DX90" s="281">
        <v>1079.7006137934434</v>
      </c>
      <c r="DY90" s="281">
        <v>1408.6082581853334</v>
      </c>
      <c r="DZ90" s="281"/>
      <c r="EA90" s="281"/>
      <c r="EB90" s="281"/>
      <c r="EC90" s="281"/>
      <c r="ED90" s="281"/>
      <c r="EE90" s="281"/>
      <c r="EF90" s="281"/>
      <c r="EG90" s="281"/>
      <c r="EH90" s="281">
        <v>103005.35201953603</v>
      </c>
      <c r="EI90" s="281">
        <v>3566.4108589304224</v>
      </c>
      <c r="EJ90" s="281">
        <v>24413.291076436635</v>
      </c>
      <c r="EK90" s="281">
        <v>33481.786620066021</v>
      </c>
      <c r="EL90" s="281">
        <v>247575.66395037493</v>
      </c>
    </row>
    <row r="91" spans="1:142" x14ac:dyDescent="0.25">
      <c r="A91" s="279" t="s">
        <v>1570</v>
      </c>
      <c r="B91" s="281">
        <v>255.06976721117152</v>
      </c>
      <c r="C91" s="281">
        <v>26.338876494857708</v>
      </c>
      <c r="D91" s="281">
        <v>3.3021885194288929</v>
      </c>
      <c r="E91" s="281">
        <v>848.98480545283121</v>
      </c>
      <c r="F91" s="281">
        <v>300.31787040947808</v>
      </c>
      <c r="G91" s="281">
        <v>2130.4893524629897</v>
      </c>
      <c r="H91" s="281">
        <v>425.31544478136084</v>
      </c>
      <c r="I91" s="281">
        <v>28.066621075840999</v>
      </c>
      <c r="J91" s="281">
        <v>33.664494401779862</v>
      </c>
      <c r="K91" s="281">
        <v>2.1908649263521453E-5</v>
      </c>
      <c r="L91" s="281"/>
      <c r="M91" s="281"/>
      <c r="N91" s="281">
        <v>7.9546714759323667</v>
      </c>
      <c r="O91" s="281"/>
      <c r="P91" s="281"/>
      <c r="Q91" s="281"/>
      <c r="R91" s="281"/>
      <c r="S91" s="281"/>
      <c r="T91" s="281">
        <v>0.11862663678454252</v>
      </c>
      <c r="U91" s="281"/>
      <c r="V91" s="281">
        <v>2.6246097274433522</v>
      </c>
      <c r="W91" s="281"/>
      <c r="X91" s="281"/>
      <c r="Y91" s="281">
        <v>35.826705321689936</v>
      </c>
      <c r="Z91" s="281">
        <v>49.238023805840655</v>
      </c>
      <c r="AA91" s="281"/>
      <c r="AB91" s="281">
        <v>80.00884316566912</v>
      </c>
      <c r="AC91" s="281"/>
      <c r="AD91" s="281">
        <v>560.1995664867153</v>
      </c>
      <c r="AE91" s="281">
        <v>3276.4440442386772</v>
      </c>
      <c r="AF91" s="281">
        <v>2408.8702856397572</v>
      </c>
      <c r="AG91" s="281">
        <v>5164.4423461763581</v>
      </c>
      <c r="AH91" s="281">
        <v>1642.625220280006</v>
      </c>
      <c r="AI91" s="281">
        <v>745.60793784119767</v>
      </c>
      <c r="AJ91" s="281">
        <v>2.9301443517747745</v>
      </c>
      <c r="AK91" s="281">
        <v>85.330620553893482</v>
      </c>
      <c r="AL91" s="478">
        <v>4248.9393225864987</v>
      </c>
      <c r="AM91" s="281">
        <v>334.07868096336904</v>
      </c>
      <c r="AN91" s="281">
        <v>14723.141421035372</v>
      </c>
      <c r="AO91" s="281">
        <v>1150.5079623131753</v>
      </c>
      <c r="AP91" s="281">
        <v>78.098718392242858</v>
      </c>
      <c r="AQ91" s="281">
        <v>15.852235509620645</v>
      </c>
      <c r="AR91" s="281">
        <v>207.49573391225942</v>
      </c>
      <c r="AS91" s="281">
        <v>183.54902247335622</v>
      </c>
      <c r="AT91" s="281">
        <v>216.5713538323038</v>
      </c>
      <c r="AU91" s="281">
        <v>677.58586585141359</v>
      </c>
      <c r="AV91" s="281">
        <v>1093.3073742313454</v>
      </c>
      <c r="AW91" s="281">
        <v>14.188015956908028</v>
      </c>
      <c r="AX91" s="281">
        <v>1876.053165788004</v>
      </c>
      <c r="AY91" s="281">
        <v>2154.4726797276717</v>
      </c>
      <c r="AZ91" s="281">
        <v>5794.2826655716317</v>
      </c>
      <c r="BA91" s="281"/>
      <c r="BB91" s="281"/>
      <c r="BC91" s="281"/>
      <c r="BD91" s="281"/>
      <c r="BE91" s="281"/>
      <c r="BF91" s="281"/>
      <c r="BG91" s="281"/>
      <c r="BH91" s="281"/>
      <c r="BI91" s="281"/>
      <c r="BJ91" s="281"/>
      <c r="BK91" s="281"/>
      <c r="BL91" s="281"/>
      <c r="BM91" s="281"/>
      <c r="BN91" s="281"/>
      <c r="BO91" s="281"/>
      <c r="BP91" s="281"/>
      <c r="BQ91" s="281"/>
      <c r="BR91" s="281"/>
      <c r="BS91" s="281"/>
      <c r="BT91" s="281"/>
      <c r="BU91" s="281"/>
      <c r="BV91" s="281"/>
      <c r="BW91" s="281"/>
      <c r="BX91" s="281"/>
      <c r="BY91" s="281"/>
      <c r="BZ91" s="281"/>
      <c r="CA91" s="281"/>
      <c r="CB91" s="281"/>
      <c r="CC91" s="281"/>
      <c r="CD91" s="281"/>
      <c r="CE91" s="281"/>
      <c r="CF91" s="281"/>
      <c r="CG91" s="281"/>
      <c r="CH91" s="281"/>
      <c r="CI91" s="281"/>
      <c r="CJ91" s="281"/>
      <c r="CK91" s="281"/>
      <c r="CL91" s="281"/>
      <c r="CM91" s="281"/>
      <c r="CN91" s="281"/>
      <c r="CO91" s="281"/>
      <c r="CP91" s="281"/>
      <c r="CQ91" s="281"/>
      <c r="CR91" s="281"/>
      <c r="CS91" s="281"/>
      <c r="CT91" s="281"/>
      <c r="CU91" s="281"/>
      <c r="CV91" s="281"/>
      <c r="CW91" s="281"/>
      <c r="CX91" s="281"/>
      <c r="CY91" s="281"/>
      <c r="CZ91" s="281"/>
      <c r="DA91" s="281"/>
      <c r="DB91" s="281"/>
      <c r="DC91" s="281"/>
      <c r="DD91" s="281"/>
      <c r="DE91" s="281"/>
      <c r="DF91" s="281"/>
      <c r="DG91" s="281"/>
      <c r="DH91" s="281"/>
      <c r="DI91" s="281"/>
      <c r="DJ91" s="281"/>
      <c r="DK91" s="281"/>
      <c r="DL91" s="281">
        <v>344.03412144659291</v>
      </c>
      <c r="DM91" s="281">
        <v>736.12792071395097</v>
      </c>
      <c r="DN91" s="281">
        <v>1056.0901217327778</v>
      </c>
      <c r="DO91" s="281">
        <v>1216.1468731273253</v>
      </c>
      <c r="DP91" s="281">
        <v>1463.6050629326985</v>
      </c>
      <c r="DQ91" s="281">
        <v>1525.7807773314289</v>
      </c>
      <c r="DR91" s="281">
        <v>2181.7645283332031</v>
      </c>
      <c r="DS91" s="281">
        <v>2389.3826922463122</v>
      </c>
      <c r="DT91" s="281">
        <v>3942.8462694942314</v>
      </c>
      <c r="DU91" s="281">
        <v>986.37726590318618</v>
      </c>
      <c r="DV91" s="281">
        <v>939.56000969210595</v>
      </c>
      <c r="DW91" s="281">
        <v>1254.5800362342966</v>
      </c>
      <c r="DX91" s="281">
        <v>1368.3349176806737</v>
      </c>
      <c r="DY91" s="281">
        <v>2508.800922311219</v>
      </c>
      <c r="DZ91" s="281"/>
      <c r="EA91" s="281"/>
      <c r="EB91" s="281"/>
      <c r="EC91" s="281"/>
      <c r="ED91" s="281"/>
      <c r="EE91" s="281"/>
      <c r="EF91" s="281"/>
      <c r="EG91" s="281"/>
      <c r="EH91" s="281">
        <v>40820.308459297346</v>
      </c>
      <c r="EI91" s="281">
        <v>1413.3439525211886</v>
      </c>
      <c r="EJ91" s="281">
        <v>4939.2528036107033</v>
      </c>
      <c r="EK91" s="281">
        <v>12778.862924135319</v>
      </c>
      <c r="EL91" s="281">
        <v>132747.09496530987</v>
      </c>
    </row>
    <row r="92" spans="1:142" x14ac:dyDescent="0.25">
      <c r="A92" s="279" t="s">
        <v>1569</v>
      </c>
      <c r="B92" s="281"/>
      <c r="C92" s="281"/>
      <c r="D92" s="281"/>
      <c r="E92" s="281">
        <v>372.45467642534646</v>
      </c>
      <c r="F92" s="281">
        <v>97.775609549932668</v>
      </c>
      <c r="G92" s="281">
        <v>685.41429638888962</v>
      </c>
      <c r="H92" s="281">
        <v>120.23768519244598</v>
      </c>
      <c r="I92" s="281">
        <v>7.9345003590627465</v>
      </c>
      <c r="J92" s="281">
        <v>9.5170324278368561</v>
      </c>
      <c r="K92" s="281">
        <v>3.2245974720746928E-4</v>
      </c>
      <c r="L92" s="281"/>
      <c r="M92" s="281"/>
      <c r="N92" s="281"/>
      <c r="O92" s="281"/>
      <c r="P92" s="281"/>
      <c r="Q92" s="281">
        <v>167.03341640889195</v>
      </c>
      <c r="R92" s="281"/>
      <c r="S92" s="281"/>
      <c r="T92" s="281">
        <v>649.2702526634007</v>
      </c>
      <c r="U92" s="281"/>
      <c r="V92" s="281">
        <v>38.629993983189742</v>
      </c>
      <c r="W92" s="281">
        <v>100.2283751254202</v>
      </c>
      <c r="X92" s="281"/>
      <c r="Y92" s="281">
        <v>0.89718037562906816</v>
      </c>
      <c r="Z92" s="281"/>
      <c r="AA92" s="281"/>
      <c r="AB92" s="281">
        <v>26.237619036833312</v>
      </c>
      <c r="AC92" s="281"/>
      <c r="AD92" s="281">
        <v>176.02060198431235</v>
      </c>
      <c r="AE92" s="281">
        <v>9460.5138008332287</v>
      </c>
      <c r="AF92" s="281">
        <v>8424.6368298009311</v>
      </c>
      <c r="AG92" s="281">
        <v>7732.6410198646527</v>
      </c>
      <c r="AH92" s="281">
        <v>11883.090797118042</v>
      </c>
      <c r="AI92" s="281">
        <v>426.29875512845763</v>
      </c>
      <c r="AJ92" s="281"/>
      <c r="AK92" s="281">
        <v>52.62679671242288</v>
      </c>
      <c r="AL92" s="478">
        <v>6.629966471744102</v>
      </c>
      <c r="AM92" s="281">
        <v>30.250344337961494</v>
      </c>
      <c r="AN92" s="281"/>
      <c r="AO92" s="281">
        <v>2131.3847815497975</v>
      </c>
      <c r="AP92" s="281">
        <v>6.0731755962064575</v>
      </c>
      <c r="AQ92" s="281">
        <v>18.575554966424178</v>
      </c>
      <c r="AR92" s="281">
        <v>243.14656047200631</v>
      </c>
      <c r="AS92" s="281">
        <v>215.08556795714804</v>
      </c>
      <c r="AT92" s="281">
        <v>253.79782324099108</v>
      </c>
      <c r="AU92" s="281">
        <v>794.05616102446845</v>
      </c>
      <c r="AV92" s="281">
        <v>1281.2597113624686</v>
      </c>
      <c r="AW92" s="281">
        <v>726.13529729662218</v>
      </c>
      <c r="AX92" s="281">
        <v>2835.6918788081352</v>
      </c>
      <c r="AY92" s="281">
        <v>21686.662465562487</v>
      </c>
      <c r="AZ92" s="281">
        <v>15700.274106626934</v>
      </c>
      <c r="BA92" s="281"/>
      <c r="BB92" s="281"/>
      <c r="BC92" s="281"/>
      <c r="BD92" s="281"/>
      <c r="BE92" s="281"/>
      <c r="BF92" s="281"/>
      <c r="BG92" s="281"/>
      <c r="BH92" s="281"/>
      <c r="BI92" s="281"/>
      <c r="BJ92" s="281"/>
      <c r="BK92" s="281"/>
      <c r="BL92" s="281"/>
      <c r="BM92" s="281"/>
      <c r="BN92" s="281"/>
      <c r="BO92" s="281"/>
      <c r="BP92" s="281"/>
      <c r="BQ92" s="281"/>
      <c r="BR92" s="281"/>
      <c r="BS92" s="281"/>
      <c r="BT92" s="281"/>
      <c r="BU92" s="281"/>
      <c r="BV92" s="281"/>
      <c r="BW92" s="281"/>
      <c r="BX92" s="281"/>
      <c r="BY92" s="281"/>
      <c r="BZ92" s="281"/>
      <c r="CA92" s="281"/>
      <c r="CB92" s="281"/>
      <c r="CC92" s="281"/>
      <c r="CD92" s="281"/>
      <c r="CE92" s="281"/>
      <c r="CF92" s="281"/>
      <c r="CG92" s="281"/>
      <c r="CH92" s="281"/>
      <c r="CI92" s="281"/>
      <c r="CJ92" s="281"/>
      <c r="CK92" s="281"/>
      <c r="CL92" s="281"/>
      <c r="CM92" s="281"/>
      <c r="CN92" s="281"/>
      <c r="CO92" s="281"/>
      <c r="CP92" s="281"/>
      <c r="CQ92" s="281"/>
      <c r="CR92" s="281"/>
      <c r="CS92" s="281"/>
      <c r="CT92" s="281"/>
      <c r="CU92" s="281"/>
      <c r="CV92" s="281"/>
      <c r="CW92" s="281"/>
      <c r="CX92" s="281"/>
      <c r="CY92" s="281"/>
      <c r="CZ92" s="281"/>
      <c r="DA92" s="281"/>
      <c r="DB92" s="281"/>
      <c r="DC92" s="281"/>
      <c r="DD92" s="281"/>
      <c r="DE92" s="281"/>
      <c r="DF92" s="281"/>
      <c r="DG92" s="281"/>
      <c r="DH92" s="281"/>
      <c r="DI92" s="281"/>
      <c r="DJ92" s="281"/>
      <c r="DK92" s="281"/>
      <c r="DL92" s="281">
        <v>325.70460070959001</v>
      </c>
      <c r="DM92" s="281">
        <v>555.4723723217345</v>
      </c>
      <c r="DN92" s="281">
        <v>775.51830330236294</v>
      </c>
      <c r="DO92" s="281">
        <v>953.89907878750773</v>
      </c>
      <c r="DP92" s="281">
        <v>1207.1660561941342</v>
      </c>
      <c r="DQ92" s="281">
        <v>1541.7237420126544</v>
      </c>
      <c r="DR92" s="281">
        <v>1799.5619458673841</v>
      </c>
      <c r="DS92" s="281">
        <v>2822.4700438447885</v>
      </c>
      <c r="DT92" s="281">
        <v>4678.8709241920351</v>
      </c>
      <c r="DU92" s="281">
        <v>1628.6892246692337</v>
      </c>
      <c r="DV92" s="281">
        <v>1227.3727586965904</v>
      </c>
      <c r="DW92" s="281">
        <v>1548.566171236258</v>
      </c>
      <c r="DX92" s="281">
        <v>3166.8246917566212</v>
      </c>
      <c r="DY92" s="281">
        <v>3922.6703509889085</v>
      </c>
      <c r="DZ92" s="281"/>
      <c r="EA92" s="281"/>
      <c r="EB92" s="281"/>
      <c r="EC92" s="281"/>
      <c r="ED92" s="281"/>
      <c r="EE92" s="281"/>
      <c r="EF92" s="281"/>
      <c r="EG92" s="281"/>
      <c r="EH92" s="281">
        <v>25499.969296511576</v>
      </c>
      <c r="EI92" s="281">
        <v>1358.3068275792548</v>
      </c>
      <c r="EJ92" s="281">
        <v>-15339.808255033297</v>
      </c>
      <c r="EK92" s="281">
        <v>8532.2197909469487</v>
      </c>
      <c r="EL92" s="281">
        <v>132565.68088169632</v>
      </c>
    </row>
    <row r="93" spans="1:142" x14ac:dyDescent="0.25">
      <c r="A93" s="279" t="s">
        <v>1568</v>
      </c>
      <c r="B93" s="281">
        <v>740.90905306293507</v>
      </c>
      <c r="C93" s="281">
        <v>78.068305895543915</v>
      </c>
      <c r="D93" s="281">
        <v>7.4622363335278834</v>
      </c>
      <c r="E93" s="281">
        <v>1374.3825200588551</v>
      </c>
      <c r="F93" s="281">
        <v>422.94140754763214</v>
      </c>
      <c r="G93" s="281">
        <v>4320.3533922930264</v>
      </c>
      <c r="H93" s="281">
        <v>742.86224711452019</v>
      </c>
      <c r="I93" s="281">
        <v>49.021575532083098</v>
      </c>
      <c r="J93" s="281">
        <v>58.798903886822444</v>
      </c>
      <c r="K93" s="281"/>
      <c r="L93" s="281">
        <v>582.19183422969616</v>
      </c>
      <c r="M93" s="281">
        <v>158.80731094805321</v>
      </c>
      <c r="N93" s="281">
        <v>36.15277520628031</v>
      </c>
      <c r="O93" s="281">
        <v>1126.0775283463211</v>
      </c>
      <c r="P93" s="281">
        <v>4.6510789726296817</v>
      </c>
      <c r="Q93" s="281">
        <v>13.061085242717484</v>
      </c>
      <c r="R93" s="281">
        <v>161.84655247231368</v>
      </c>
      <c r="S93" s="281"/>
      <c r="T93" s="281">
        <v>102.19805260182767</v>
      </c>
      <c r="U93" s="281"/>
      <c r="V93" s="281"/>
      <c r="W93" s="281"/>
      <c r="X93" s="281"/>
      <c r="Y93" s="281">
        <v>64.962079305188269</v>
      </c>
      <c r="Z93" s="281">
        <v>104.07247693953121</v>
      </c>
      <c r="AA93" s="281"/>
      <c r="AB93" s="281"/>
      <c r="AC93" s="281">
        <v>29.07933234550115</v>
      </c>
      <c r="AD93" s="281">
        <v>557.3507616726672</v>
      </c>
      <c r="AE93" s="281">
        <v>1080.3701805904398</v>
      </c>
      <c r="AF93" s="281">
        <v>1482.4499420839941</v>
      </c>
      <c r="AG93" s="281">
        <v>37.25366217003473</v>
      </c>
      <c r="AH93" s="281">
        <v>59899.874098440989</v>
      </c>
      <c r="AI93" s="281">
        <v>2041.7654984829176</v>
      </c>
      <c r="AJ93" s="281">
        <v>43.070163673539874</v>
      </c>
      <c r="AK93" s="281">
        <v>78.860722599622889</v>
      </c>
      <c r="AL93" s="478">
        <v>331.19827455623334</v>
      </c>
      <c r="AM93" s="281">
        <v>16.459376571942265</v>
      </c>
      <c r="AN93" s="281"/>
      <c r="AO93" s="281">
        <v>9844.5546710520211</v>
      </c>
      <c r="AP93" s="281"/>
      <c r="AQ93" s="281">
        <v>94.993017022942396</v>
      </c>
      <c r="AR93" s="281">
        <v>1270.8463828665074</v>
      </c>
      <c r="AS93" s="281"/>
      <c r="AT93" s="281">
        <v>9020.8298729006146</v>
      </c>
      <c r="AU93" s="281">
        <v>30358.078622593261</v>
      </c>
      <c r="AV93" s="281"/>
      <c r="AW93" s="281"/>
      <c r="AX93" s="281"/>
      <c r="AY93" s="281">
        <v>15592.993610886249</v>
      </c>
      <c r="AZ93" s="281">
        <v>12351.844764001791</v>
      </c>
      <c r="BA93" s="281"/>
      <c r="BB93" s="281"/>
      <c r="BC93" s="281"/>
      <c r="BD93" s="281"/>
      <c r="BE93" s="281"/>
      <c r="BF93" s="281"/>
      <c r="BG93" s="281"/>
      <c r="BH93" s="281"/>
      <c r="BI93" s="281"/>
      <c r="BJ93" s="281"/>
      <c r="BK93" s="281"/>
      <c r="BL93" s="281"/>
      <c r="BM93" s="281"/>
      <c r="BN93" s="281"/>
      <c r="BO93" s="281"/>
      <c r="BP93" s="281"/>
      <c r="BQ93" s="281"/>
      <c r="BR93" s="281"/>
      <c r="BS93" s="281"/>
      <c r="BT93" s="281"/>
      <c r="BU93" s="281"/>
      <c r="BV93" s="281"/>
      <c r="BW93" s="281"/>
      <c r="BX93" s="281"/>
      <c r="BY93" s="281"/>
      <c r="BZ93" s="281"/>
      <c r="CA93" s="281"/>
      <c r="CB93" s="281"/>
      <c r="CC93" s="281"/>
      <c r="CD93" s="281"/>
      <c r="CE93" s="281"/>
      <c r="CF93" s="281"/>
      <c r="CG93" s="281"/>
      <c r="CH93" s="281"/>
      <c r="CI93" s="281"/>
      <c r="CJ93" s="281"/>
      <c r="CK93" s="281"/>
      <c r="CL93" s="281"/>
      <c r="CM93" s="281"/>
      <c r="CN93" s="281"/>
      <c r="CO93" s="281"/>
      <c r="CP93" s="281"/>
      <c r="CQ93" s="281"/>
      <c r="CR93" s="281"/>
      <c r="CS93" s="281"/>
      <c r="CT93" s="281"/>
      <c r="CU93" s="281"/>
      <c r="CV93" s="281"/>
      <c r="CW93" s="281"/>
      <c r="CX93" s="281"/>
      <c r="CY93" s="281"/>
      <c r="CZ93" s="281"/>
      <c r="DA93" s="281"/>
      <c r="DB93" s="281"/>
      <c r="DC93" s="281"/>
      <c r="DD93" s="281"/>
      <c r="DE93" s="281"/>
      <c r="DF93" s="281"/>
      <c r="DG93" s="281"/>
      <c r="DH93" s="281"/>
      <c r="DI93" s="281"/>
      <c r="DJ93" s="281"/>
      <c r="DK93" s="281"/>
      <c r="DL93" s="281">
        <v>6.7000818752369877</v>
      </c>
      <c r="DM93" s="281">
        <v>5.7135350072177538</v>
      </c>
      <c r="DN93" s="281">
        <v>41.907213910785202</v>
      </c>
      <c r="DO93" s="281">
        <v>18.897762532640158</v>
      </c>
      <c r="DP93" s="281">
        <v>108.50458204897502</v>
      </c>
      <c r="DQ93" s="281">
        <v>168.71840122448529</v>
      </c>
      <c r="DR93" s="281">
        <v>478.28909962360495</v>
      </c>
      <c r="DS93" s="281">
        <v>2666.0692125938349</v>
      </c>
      <c r="DT93" s="281">
        <v>9946.4889854462308</v>
      </c>
      <c r="DU93" s="281">
        <v>5127.0561780650678</v>
      </c>
      <c r="DV93" s="281">
        <v>7870.031233329878</v>
      </c>
      <c r="DW93" s="281">
        <v>11023.170782839894</v>
      </c>
      <c r="DX93" s="281">
        <v>18688.119769047171</v>
      </c>
      <c r="DY93" s="281">
        <v>49476.092118327906</v>
      </c>
      <c r="DZ93" s="281"/>
      <c r="EA93" s="281"/>
      <c r="EB93" s="281"/>
      <c r="EC93" s="281"/>
      <c r="ED93" s="281"/>
      <c r="EE93" s="281"/>
      <c r="EF93" s="281"/>
      <c r="EG93" s="281"/>
      <c r="EH93" s="281">
        <v>83877.866226771323</v>
      </c>
      <c r="EI93" s="281">
        <v>4467.9221787999923</v>
      </c>
      <c r="EJ93" s="281">
        <v>6203.4698385754973</v>
      </c>
      <c r="EK93" s="281">
        <v>51704.864743426791</v>
      </c>
      <c r="EL93" s="281">
        <v>406160.57531394734</v>
      </c>
    </row>
    <row r="94" spans="1:142" x14ac:dyDescent="0.25">
      <c r="A94" s="279" t="s">
        <v>1567</v>
      </c>
      <c r="B94" s="281">
        <v>71.314220834463768</v>
      </c>
      <c r="C94" s="281">
        <v>7.5426291883945558</v>
      </c>
      <c r="D94" s="281">
        <v>0.75356168402195345</v>
      </c>
      <c r="E94" s="281">
        <v>11.455687868346697</v>
      </c>
      <c r="F94" s="281">
        <v>26.975158213037613</v>
      </c>
      <c r="G94" s="281">
        <v>189.06794765194715</v>
      </c>
      <c r="H94" s="281">
        <v>44.899970330631803</v>
      </c>
      <c r="I94" s="281">
        <v>2.9629548351674933</v>
      </c>
      <c r="J94" s="281">
        <v>3.5539146729380144</v>
      </c>
      <c r="K94" s="281"/>
      <c r="L94" s="281"/>
      <c r="M94" s="281"/>
      <c r="N94" s="281"/>
      <c r="O94" s="281"/>
      <c r="P94" s="281"/>
      <c r="Q94" s="281"/>
      <c r="R94" s="281"/>
      <c r="S94" s="281"/>
      <c r="T94" s="281"/>
      <c r="U94" s="281"/>
      <c r="V94" s="281"/>
      <c r="W94" s="281"/>
      <c r="X94" s="281"/>
      <c r="Y94" s="281"/>
      <c r="Z94" s="281"/>
      <c r="AA94" s="281"/>
      <c r="AB94" s="281"/>
      <c r="AC94" s="281"/>
      <c r="AD94" s="281">
        <v>774.6662408531862</v>
      </c>
      <c r="AE94" s="281">
        <v>219.33296274627122</v>
      </c>
      <c r="AF94" s="281">
        <v>1443.3585776722973</v>
      </c>
      <c r="AG94" s="281"/>
      <c r="AH94" s="281">
        <v>433.35998935899886</v>
      </c>
      <c r="AI94" s="281">
        <v>4517.970368871127</v>
      </c>
      <c r="AJ94" s="281">
        <v>56.430804156057356</v>
      </c>
      <c r="AK94" s="281">
        <v>0.91589110208084734</v>
      </c>
      <c r="AL94" s="478"/>
      <c r="AM94" s="281"/>
      <c r="AN94" s="281"/>
      <c r="AO94" s="281">
        <v>4.0104523793251259</v>
      </c>
      <c r="AP94" s="281"/>
      <c r="AQ94" s="281">
        <v>12.488629782406926</v>
      </c>
      <c r="AR94" s="281">
        <v>163.4646685034441</v>
      </c>
      <c r="AS94" s="281">
        <v>144.59948233647884</v>
      </c>
      <c r="AT94" s="281">
        <v>170.600806639567</v>
      </c>
      <c r="AU94" s="281">
        <v>533.75801201912316</v>
      </c>
      <c r="AV94" s="281">
        <v>861.216587600965</v>
      </c>
      <c r="AW94" s="281"/>
      <c r="AX94" s="281">
        <v>0.57412708822122527</v>
      </c>
      <c r="AY94" s="281">
        <v>694.48983203933039</v>
      </c>
      <c r="AZ94" s="281">
        <v>89.229981567050743</v>
      </c>
      <c r="BA94" s="281"/>
      <c r="BB94" s="281"/>
      <c r="BC94" s="281"/>
      <c r="BD94" s="281"/>
      <c r="BE94" s="281"/>
      <c r="BF94" s="281"/>
      <c r="BG94" s="281"/>
      <c r="BH94" s="281"/>
      <c r="BI94" s="281"/>
      <c r="BJ94" s="281"/>
      <c r="BK94" s="281"/>
      <c r="BL94" s="281"/>
      <c r="BM94" s="281"/>
      <c r="BN94" s="281"/>
      <c r="BO94" s="281"/>
      <c r="BP94" s="281"/>
      <c r="BQ94" s="281"/>
      <c r="BR94" s="281"/>
      <c r="BS94" s="281"/>
      <c r="BT94" s="281"/>
      <c r="BU94" s="281"/>
      <c r="BV94" s="281"/>
      <c r="BW94" s="281"/>
      <c r="BX94" s="281"/>
      <c r="BY94" s="281"/>
      <c r="BZ94" s="281"/>
      <c r="CA94" s="281"/>
      <c r="CB94" s="281"/>
      <c r="CC94" s="281"/>
      <c r="CD94" s="281"/>
      <c r="CE94" s="281"/>
      <c r="CF94" s="281"/>
      <c r="CG94" s="281"/>
      <c r="CH94" s="281"/>
      <c r="CI94" s="281"/>
      <c r="CJ94" s="281"/>
      <c r="CK94" s="281"/>
      <c r="CL94" s="281"/>
      <c r="CM94" s="281"/>
      <c r="CN94" s="281"/>
      <c r="CO94" s="281"/>
      <c r="CP94" s="281"/>
      <c r="CQ94" s="281"/>
      <c r="CR94" s="281"/>
      <c r="CS94" s="281"/>
      <c r="CT94" s="281"/>
      <c r="CU94" s="281"/>
      <c r="CV94" s="281"/>
      <c r="CW94" s="281"/>
      <c r="CX94" s="281"/>
      <c r="CY94" s="281"/>
      <c r="CZ94" s="281"/>
      <c r="DA94" s="281"/>
      <c r="DB94" s="281"/>
      <c r="DC94" s="281"/>
      <c r="DD94" s="281"/>
      <c r="DE94" s="281"/>
      <c r="DF94" s="281"/>
      <c r="DG94" s="281"/>
      <c r="DH94" s="281"/>
      <c r="DI94" s="281"/>
      <c r="DJ94" s="281"/>
      <c r="DK94" s="281"/>
      <c r="DL94" s="281">
        <v>116.75385846236196</v>
      </c>
      <c r="DM94" s="281">
        <v>103.4185610177751</v>
      </c>
      <c r="DN94" s="281">
        <v>115.27913462780805</v>
      </c>
      <c r="DO94" s="281">
        <v>72.979275676688417</v>
      </c>
      <c r="DP94" s="281">
        <v>159.99130777367336</v>
      </c>
      <c r="DQ94" s="281">
        <v>156.65696926573671</v>
      </c>
      <c r="DR94" s="281">
        <v>167.61450980214804</v>
      </c>
      <c r="DS94" s="281">
        <v>253.08612868400724</v>
      </c>
      <c r="DT94" s="281">
        <v>355.98360055050483</v>
      </c>
      <c r="DU94" s="281">
        <v>40.613361824799888</v>
      </c>
      <c r="DV94" s="281">
        <v>148.55185257628571</v>
      </c>
      <c r="DW94" s="281">
        <v>115.68236551492319</v>
      </c>
      <c r="DX94" s="281">
        <v>152.77409223836523</v>
      </c>
      <c r="DY94" s="281">
        <v>1346.5062943709843</v>
      </c>
      <c r="DZ94" s="281"/>
      <c r="EA94" s="281"/>
      <c r="EB94" s="281"/>
      <c r="EC94" s="281"/>
      <c r="ED94" s="281"/>
      <c r="EE94" s="281"/>
      <c r="EF94" s="281"/>
      <c r="EG94" s="281"/>
      <c r="EH94" s="281">
        <v>14107.59500935205</v>
      </c>
      <c r="EI94" s="281">
        <v>751.46924292757296</v>
      </c>
      <c r="EJ94" s="281">
        <v>3739.154556096034</v>
      </c>
      <c r="EK94" s="281">
        <v>11898.229539787812</v>
      </c>
      <c r="EL94" s="281">
        <v>44281.333120544412</v>
      </c>
    </row>
    <row r="95" spans="1:142" x14ac:dyDescent="0.25">
      <c r="A95" s="279" t="s">
        <v>1566</v>
      </c>
      <c r="B95" s="281"/>
      <c r="C95" s="281"/>
      <c r="D95" s="281"/>
      <c r="E95" s="281">
        <v>4.0269320434358171</v>
      </c>
      <c r="F95" s="281">
        <v>4.0823158174540106</v>
      </c>
      <c r="G95" s="281">
        <v>30.840848658374792</v>
      </c>
      <c r="H95" s="281">
        <v>5.2311784923457623</v>
      </c>
      <c r="I95" s="281">
        <v>0.34520614364294555</v>
      </c>
      <c r="J95" s="281">
        <v>0.41405733375333759</v>
      </c>
      <c r="K95" s="281"/>
      <c r="L95" s="281"/>
      <c r="M95" s="281"/>
      <c r="N95" s="281"/>
      <c r="O95" s="281">
        <v>16.275136184861946</v>
      </c>
      <c r="P95" s="281"/>
      <c r="Q95" s="281"/>
      <c r="R95" s="281">
        <v>402.75349601913092</v>
      </c>
      <c r="S95" s="281">
        <v>2.1433959259203301</v>
      </c>
      <c r="T95" s="281"/>
      <c r="U95" s="281"/>
      <c r="V95" s="281"/>
      <c r="W95" s="281"/>
      <c r="X95" s="281"/>
      <c r="Y95" s="281">
        <v>120.0467777820098</v>
      </c>
      <c r="Z95" s="281"/>
      <c r="AA95" s="281"/>
      <c r="AB95" s="281">
        <v>5.3550343130223563</v>
      </c>
      <c r="AC95" s="281"/>
      <c r="AD95" s="281">
        <v>16.282831287632117</v>
      </c>
      <c r="AE95" s="281">
        <v>5.8628892450465937</v>
      </c>
      <c r="AF95" s="281">
        <v>18.189877126571634</v>
      </c>
      <c r="AG95" s="281">
        <v>7.8542020556095284</v>
      </c>
      <c r="AH95" s="281"/>
      <c r="AI95" s="281"/>
      <c r="AJ95" s="281">
        <v>242.64818071991075</v>
      </c>
      <c r="AK95" s="281">
        <v>15.286726609759885</v>
      </c>
      <c r="AL95" s="478"/>
      <c r="AM95" s="281">
        <v>10.681354706912931</v>
      </c>
      <c r="AN95" s="281">
        <v>256.87073813340703</v>
      </c>
      <c r="AO95" s="281">
        <v>1377.5284206500958</v>
      </c>
      <c r="AP95" s="281">
        <v>23.613879001022081</v>
      </c>
      <c r="AQ95" s="281">
        <v>1.5583659121736859</v>
      </c>
      <c r="AR95" s="281">
        <v>20.39742909494171</v>
      </c>
      <c r="AS95" s="281">
        <v>18.043226735405483</v>
      </c>
      <c r="AT95" s="281">
        <v>21.287265075330478</v>
      </c>
      <c r="AU95" s="281">
        <v>66.601374939204362</v>
      </c>
      <c r="AV95" s="281">
        <v>107.46023692080951</v>
      </c>
      <c r="AW95" s="281">
        <v>75.181805220517575</v>
      </c>
      <c r="AX95" s="281">
        <v>1690.3041371384456</v>
      </c>
      <c r="AY95" s="281">
        <v>190.11270036424358</v>
      </c>
      <c r="AZ95" s="281">
        <v>1043.9720881386888</v>
      </c>
      <c r="BA95" s="281"/>
      <c r="BB95" s="281"/>
      <c r="BC95" s="281"/>
      <c r="BD95" s="281"/>
      <c r="BE95" s="281"/>
      <c r="BF95" s="281"/>
      <c r="BG95" s="281"/>
      <c r="BH95" s="281"/>
      <c r="BI95" s="281"/>
      <c r="BJ95" s="281"/>
      <c r="BK95" s="281"/>
      <c r="BL95" s="281"/>
      <c r="BM95" s="281"/>
      <c r="BN95" s="281"/>
      <c r="BO95" s="281"/>
      <c r="BP95" s="281"/>
      <c r="BQ95" s="281"/>
      <c r="BR95" s="281"/>
      <c r="BS95" s="281"/>
      <c r="BT95" s="281"/>
      <c r="BU95" s="281"/>
      <c r="BV95" s="281"/>
      <c r="BW95" s="281"/>
      <c r="BX95" s="281"/>
      <c r="BY95" s="281"/>
      <c r="BZ95" s="281"/>
      <c r="CA95" s="281"/>
      <c r="CB95" s="281"/>
      <c r="CC95" s="281"/>
      <c r="CD95" s="281"/>
      <c r="CE95" s="281"/>
      <c r="CF95" s="281"/>
      <c r="CG95" s="281"/>
      <c r="CH95" s="281"/>
      <c r="CI95" s="281"/>
      <c r="CJ95" s="281"/>
      <c r="CK95" s="281"/>
      <c r="CL95" s="281"/>
      <c r="CM95" s="281"/>
      <c r="CN95" s="281"/>
      <c r="CO95" s="281"/>
      <c r="CP95" s="281"/>
      <c r="CQ95" s="281"/>
      <c r="CR95" s="281"/>
      <c r="CS95" s="281"/>
      <c r="CT95" s="281"/>
      <c r="CU95" s="281"/>
      <c r="CV95" s="281"/>
      <c r="CW95" s="281"/>
      <c r="CX95" s="281"/>
      <c r="CY95" s="281"/>
      <c r="CZ95" s="281"/>
      <c r="DA95" s="281"/>
      <c r="DB95" s="281"/>
      <c r="DC95" s="281"/>
      <c r="DD95" s="281"/>
      <c r="DE95" s="281"/>
      <c r="DF95" s="281"/>
      <c r="DG95" s="281"/>
      <c r="DH95" s="281"/>
      <c r="DI95" s="281"/>
      <c r="DJ95" s="281"/>
      <c r="DK95" s="281"/>
      <c r="DL95" s="281">
        <v>238.39969736144033</v>
      </c>
      <c r="DM95" s="281">
        <v>420.20147667044682</v>
      </c>
      <c r="DN95" s="281">
        <v>750.0769638642472</v>
      </c>
      <c r="DO95" s="281">
        <v>914.54056044923607</v>
      </c>
      <c r="DP95" s="281">
        <v>1298.801300133789</v>
      </c>
      <c r="DQ95" s="281">
        <v>1306.4865149274799</v>
      </c>
      <c r="DR95" s="281">
        <v>1613.8951066751224</v>
      </c>
      <c r="DS95" s="281">
        <v>2121.1192830587329</v>
      </c>
      <c r="DT95" s="281">
        <v>3012.6041991268949</v>
      </c>
      <c r="DU95" s="281">
        <v>637.87282787635786</v>
      </c>
      <c r="DV95" s="281">
        <v>959.11480625264414</v>
      </c>
      <c r="DW95" s="281">
        <v>908.39238861428328</v>
      </c>
      <c r="DX95" s="281">
        <v>1660.0063954372686</v>
      </c>
      <c r="DY95" s="281">
        <v>1690.747254612033</v>
      </c>
      <c r="DZ95" s="281"/>
      <c r="EA95" s="281"/>
      <c r="EB95" s="281"/>
      <c r="EC95" s="281"/>
      <c r="ED95" s="281"/>
      <c r="EE95" s="281"/>
      <c r="EF95" s="281"/>
      <c r="EG95" s="281"/>
      <c r="EH95" s="281">
        <v>5665.1383095833507</v>
      </c>
      <c r="EI95" s="281">
        <v>301.76491413032988</v>
      </c>
      <c r="EJ95" s="281">
        <v>-528.65465315569531</v>
      </c>
      <c r="EK95" s="281">
        <v>5220.4142318530085</v>
      </c>
      <c r="EL95" s="281">
        <v>33992.173685260655</v>
      </c>
    </row>
    <row r="96" spans="1:142" x14ac:dyDescent="0.25">
      <c r="A96" s="279" t="s">
        <v>1565</v>
      </c>
      <c r="B96" s="281"/>
      <c r="C96" s="281"/>
      <c r="D96" s="281"/>
      <c r="E96" s="281">
        <v>6.5869667381608998</v>
      </c>
      <c r="F96" s="281">
        <v>2.1075631728626942</v>
      </c>
      <c r="G96" s="281">
        <v>14.88082408968066</v>
      </c>
      <c r="H96" s="281">
        <v>3.8131584825768616</v>
      </c>
      <c r="I96" s="281">
        <v>0.25163082024361932</v>
      </c>
      <c r="J96" s="281">
        <v>0.30181845960425319</v>
      </c>
      <c r="K96" s="281">
        <v>2.8787262103216851E-4</v>
      </c>
      <c r="L96" s="281">
        <v>8857.7032659302167</v>
      </c>
      <c r="M96" s="281">
        <v>1.5049499995078208</v>
      </c>
      <c r="N96" s="281">
        <v>1.0528799930000745</v>
      </c>
      <c r="O96" s="281">
        <v>4961.2720140291449</v>
      </c>
      <c r="P96" s="281">
        <v>1111.9337237303625</v>
      </c>
      <c r="Q96" s="281">
        <v>0.65627721561267638</v>
      </c>
      <c r="R96" s="281">
        <v>1178.3896143355876</v>
      </c>
      <c r="S96" s="281">
        <v>8.1868702925225403</v>
      </c>
      <c r="T96" s="281">
        <v>114.9471824957977</v>
      </c>
      <c r="U96" s="281">
        <v>0.27977837366923342</v>
      </c>
      <c r="V96" s="281">
        <v>34.486529604710128</v>
      </c>
      <c r="W96" s="281">
        <v>11.584594139666653</v>
      </c>
      <c r="X96" s="281">
        <v>0.42948260148994177</v>
      </c>
      <c r="Y96" s="281">
        <v>54.235655894540152</v>
      </c>
      <c r="Z96" s="281">
        <v>0.75708676402790476</v>
      </c>
      <c r="AA96" s="281">
        <v>10.793564216026068</v>
      </c>
      <c r="AB96" s="281">
        <v>7108.3241489968241</v>
      </c>
      <c r="AC96" s="281">
        <v>680.97500767804013</v>
      </c>
      <c r="AD96" s="281">
        <v>1141.9912237506358</v>
      </c>
      <c r="AE96" s="281">
        <v>203.874744569364</v>
      </c>
      <c r="AF96" s="281">
        <v>91.540199012494611</v>
      </c>
      <c r="AG96" s="281">
        <v>13.776145405355704</v>
      </c>
      <c r="AH96" s="281">
        <v>5.3387099246083878</v>
      </c>
      <c r="AI96" s="281">
        <v>36.766732490394553</v>
      </c>
      <c r="AJ96" s="281">
        <v>41.522198024981918</v>
      </c>
      <c r="AK96" s="281">
        <v>10079.710529993126</v>
      </c>
      <c r="AL96" s="478">
        <v>8.2583644242039629</v>
      </c>
      <c r="AM96" s="281">
        <v>0.89186401373209745</v>
      </c>
      <c r="AN96" s="281">
        <v>11.074512543782047</v>
      </c>
      <c r="AO96" s="281">
        <v>446.16359086128364</v>
      </c>
      <c r="AP96" s="281">
        <v>11.597146963252424</v>
      </c>
      <c r="AQ96" s="281">
        <v>4.9243700942941233</v>
      </c>
      <c r="AR96" s="281">
        <v>65.067977525098712</v>
      </c>
      <c r="AS96" s="281">
        <v>60.025360627306121</v>
      </c>
      <c r="AT96" s="281">
        <v>71.230644410478945</v>
      </c>
      <c r="AU96" s="281">
        <v>222.85901165581271</v>
      </c>
      <c r="AV96" s="281">
        <v>345.77740989400405</v>
      </c>
      <c r="AW96" s="281">
        <v>220.79692197492059</v>
      </c>
      <c r="AX96" s="281">
        <v>2357.9217693749633</v>
      </c>
      <c r="AY96" s="281">
        <v>2950.1597373482209</v>
      </c>
      <c r="AZ96" s="281">
        <v>1302.3484377270756</v>
      </c>
      <c r="BA96" s="281"/>
      <c r="BB96" s="281"/>
      <c r="BC96" s="281"/>
      <c r="BD96" s="281"/>
      <c r="BE96" s="281"/>
      <c r="BF96" s="281"/>
      <c r="BG96" s="281"/>
      <c r="BH96" s="281"/>
      <c r="BI96" s="281"/>
      <c r="BJ96" s="281"/>
      <c r="BK96" s="281"/>
      <c r="BL96" s="281"/>
      <c r="BM96" s="281"/>
      <c r="BN96" s="281"/>
      <c r="BO96" s="281"/>
      <c r="BP96" s="281"/>
      <c r="BQ96" s="281"/>
      <c r="BR96" s="281"/>
      <c r="BS96" s="281"/>
      <c r="BT96" s="281"/>
      <c r="BU96" s="281"/>
      <c r="BV96" s="281"/>
      <c r="BW96" s="281"/>
      <c r="BX96" s="281"/>
      <c r="BY96" s="281"/>
      <c r="BZ96" s="281"/>
      <c r="CA96" s="281"/>
      <c r="CB96" s="281"/>
      <c r="CC96" s="281"/>
      <c r="CD96" s="281"/>
      <c r="CE96" s="281"/>
      <c r="CF96" s="281"/>
      <c r="CG96" s="281"/>
      <c r="CH96" s="281"/>
      <c r="CI96" s="281"/>
      <c r="CJ96" s="281"/>
      <c r="CK96" s="281"/>
      <c r="CL96" s="281"/>
      <c r="CM96" s="281"/>
      <c r="CN96" s="281"/>
      <c r="CO96" s="281"/>
      <c r="CP96" s="281"/>
      <c r="CQ96" s="281"/>
      <c r="CR96" s="281"/>
      <c r="CS96" s="281"/>
      <c r="CT96" s="281"/>
      <c r="CU96" s="281"/>
      <c r="CV96" s="281"/>
      <c r="CW96" s="281"/>
      <c r="CX96" s="281"/>
      <c r="CY96" s="281"/>
      <c r="CZ96" s="281"/>
      <c r="DA96" s="281"/>
      <c r="DB96" s="281"/>
      <c r="DC96" s="281"/>
      <c r="DD96" s="281"/>
      <c r="DE96" s="281"/>
      <c r="DF96" s="281"/>
      <c r="DG96" s="281"/>
      <c r="DH96" s="281"/>
      <c r="DI96" s="281"/>
      <c r="DJ96" s="281"/>
      <c r="DK96" s="281"/>
      <c r="DL96" s="281">
        <v>637.90194570564449</v>
      </c>
      <c r="DM96" s="281">
        <v>506.35551329025071</v>
      </c>
      <c r="DN96" s="281">
        <v>611.98239489469699</v>
      </c>
      <c r="DO96" s="281">
        <v>596.079910289547</v>
      </c>
      <c r="DP96" s="281">
        <v>609.97891213589912</v>
      </c>
      <c r="DQ96" s="281">
        <v>984.64524135041404</v>
      </c>
      <c r="DR96" s="281">
        <v>852.80338719068641</v>
      </c>
      <c r="DS96" s="281">
        <v>1684.5428805440322</v>
      </c>
      <c r="DT96" s="281">
        <v>3126.7345250545586</v>
      </c>
      <c r="DU96" s="281">
        <v>928.56759620214484</v>
      </c>
      <c r="DV96" s="281">
        <v>1351.1959169372731</v>
      </c>
      <c r="DW96" s="281">
        <v>1526.5252436911103</v>
      </c>
      <c r="DX96" s="281">
        <v>1922.1203919857453</v>
      </c>
      <c r="DY96" s="281">
        <v>2700.1184643159413</v>
      </c>
      <c r="DZ96" s="281"/>
      <c r="EA96" s="281"/>
      <c r="EB96" s="281"/>
      <c r="EC96" s="281"/>
      <c r="ED96" s="281"/>
      <c r="EE96" s="281"/>
      <c r="EF96" s="281"/>
      <c r="EG96" s="281"/>
      <c r="EH96" s="281">
        <v>1014.7422253833794</v>
      </c>
      <c r="EI96" s="281">
        <v>54.052272649589767</v>
      </c>
      <c r="EJ96" s="281">
        <v>168.15208258657276</v>
      </c>
      <c r="EK96" s="281">
        <v>16627.777071366345</v>
      </c>
      <c r="EL96" s="281">
        <v>79763.348454109713</v>
      </c>
    </row>
    <row r="97" spans="1:142" x14ac:dyDescent="0.25">
      <c r="A97" s="279" t="s">
        <v>1564</v>
      </c>
      <c r="B97" s="281">
        <v>2928.276240743352</v>
      </c>
      <c r="C97" s="281">
        <v>310.98349830120657</v>
      </c>
      <c r="D97" s="281">
        <v>32.072980804026095</v>
      </c>
      <c r="E97" s="281">
        <v>2299.4065402485053</v>
      </c>
      <c r="F97" s="281">
        <v>12716.842367257534</v>
      </c>
      <c r="G97" s="281">
        <v>14100.088877420878</v>
      </c>
      <c r="H97" s="281">
        <v>1519.5785182943339</v>
      </c>
      <c r="I97" s="281">
        <v>100.27718248012253</v>
      </c>
      <c r="J97" s="281">
        <v>120.27741562143811</v>
      </c>
      <c r="K97" s="281">
        <v>9.6030335046987242E-2</v>
      </c>
      <c r="L97" s="281">
        <v>2748.3118520135472</v>
      </c>
      <c r="M97" s="281">
        <v>298.98299149021295</v>
      </c>
      <c r="N97" s="281">
        <v>913.34747602861694</v>
      </c>
      <c r="O97" s="281">
        <v>330.52449700265288</v>
      </c>
      <c r="P97" s="281">
        <v>44.615021051718159</v>
      </c>
      <c r="Q97" s="281">
        <v>84.592605041785745</v>
      </c>
      <c r="R97" s="281">
        <v>784.21739543960587</v>
      </c>
      <c r="S97" s="281">
        <v>2311.8690435368367</v>
      </c>
      <c r="T97" s="281">
        <v>350.02369387170279</v>
      </c>
      <c r="U97" s="281">
        <v>8234.3412687073032</v>
      </c>
      <c r="V97" s="281">
        <v>3526.2753519479688</v>
      </c>
      <c r="W97" s="281">
        <v>1553.6440829499759</v>
      </c>
      <c r="X97" s="281">
        <v>93.383347325114443</v>
      </c>
      <c r="Y97" s="281">
        <v>135.22627630013321</v>
      </c>
      <c r="Z97" s="281">
        <v>184.21530410448563</v>
      </c>
      <c r="AA97" s="281">
        <v>296.13709178738429</v>
      </c>
      <c r="AB97" s="281">
        <v>7087.8058565212632</v>
      </c>
      <c r="AC97" s="281">
        <v>12745.476812735662</v>
      </c>
      <c r="AD97" s="281">
        <v>897.81539692223498</v>
      </c>
      <c r="AE97" s="281">
        <v>894.295772147197</v>
      </c>
      <c r="AF97" s="281">
        <v>488.7998887399205</v>
      </c>
      <c r="AG97" s="281">
        <v>161.08795654264171</v>
      </c>
      <c r="AH97" s="281">
        <v>1878.910129076532</v>
      </c>
      <c r="AI97" s="281">
        <v>268.17866488510259</v>
      </c>
      <c r="AJ97" s="281">
        <v>270.02116275636928</v>
      </c>
      <c r="AK97" s="281">
        <v>457.68770119588282</v>
      </c>
      <c r="AL97" s="478"/>
      <c r="AM97" s="281">
        <v>426.38778983994456</v>
      </c>
      <c r="AN97" s="281">
        <v>954.47580263474447</v>
      </c>
      <c r="AO97" s="281">
        <v>4365.4058988409988</v>
      </c>
      <c r="AP97" s="281">
        <v>1065.9680405813053</v>
      </c>
      <c r="AQ97" s="281">
        <v>4.8560585192898778</v>
      </c>
      <c r="AR97" s="281">
        <v>35.318420018151045</v>
      </c>
      <c r="AS97" s="281">
        <v>279.1238290757326</v>
      </c>
      <c r="AT97" s="281">
        <v>653.92231871115587</v>
      </c>
      <c r="AU97" s="281">
        <v>2045.9239538510544</v>
      </c>
      <c r="AV97" s="281">
        <v>518.62145555445147</v>
      </c>
      <c r="AW97" s="281">
        <v>700.3691352359607</v>
      </c>
      <c r="AX97" s="281">
        <v>15677.435628841777</v>
      </c>
      <c r="AY97" s="281">
        <v>1697.9866178429345</v>
      </c>
      <c r="AZ97" s="281">
        <v>4421.3276406831565</v>
      </c>
      <c r="BA97" s="281"/>
      <c r="BB97" s="281"/>
      <c r="BC97" s="281"/>
      <c r="BD97" s="281"/>
      <c r="BE97" s="281"/>
      <c r="BF97" s="281"/>
      <c r="BG97" s="281"/>
      <c r="BH97" s="281"/>
      <c r="BI97" s="281"/>
      <c r="BJ97" s="281"/>
      <c r="BK97" s="281"/>
      <c r="BL97" s="281"/>
      <c r="BM97" s="281"/>
      <c r="BN97" s="281"/>
      <c r="BO97" s="281"/>
      <c r="BP97" s="281"/>
      <c r="BQ97" s="281"/>
      <c r="BR97" s="281"/>
      <c r="BS97" s="281"/>
      <c r="BT97" s="281"/>
      <c r="BU97" s="281"/>
      <c r="BV97" s="281"/>
      <c r="BW97" s="281"/>
      <c r="BX97" s="281"/>
      <c r="BY97" s="281"/>
      <c r="BZ97" s="281"/>
      <c r="CA97" s="281"/>
      <c r="CB97" s="281"/>
      <c r="CC97" s="281"/>
      <c r="CD97" s="281"/>
      <c r="CE97" s="281"/>
      <c r="CF97" s="281"/>
      <c r="CG97" s="281"/>
      <c r="CH97" s="281"/>
      <c r="CI97" s="281"/>
      <c r="CJ97" s="281"/>
      <c r="CK97" s="281"/>
      <c r="CL97" s="281"/>
      <c r="CM97" s="281"/>
      <c r="CN97" s="281"/>
      <c r="CO97" s="281"/>
      <c r="CP97" s="281"/>
      <c r="CQ97" s="281"/>
      <c r="CR97" s="281"/>
      <c r="CS97" s="281"/>
      <c r="CT97" s="281"/>
      <c r="CU97" s="281"/>
      <c r="CV97" s="281"/>
      <c r="CW97" s="281"/>
      <c r="CX97" s="281"/>
      <c r="CY97" s="281"/>
      <c r="CZ97" s="281"/>
      <c r="DA97" s="281"/>
      <c r="DB97" s="281"/>
      <c r="DC97" s="281"/>
      <c r="DD97" s="281"/>
      <c r="DE97" s="281"/>
      <c r="DF97" s="281"/>
      <c r="DG97" s="281"/>
      <c r="DH97" s="281"/>
      <c r="DI97" s="281"/>
      <c r="DJ97" s="281"/>
      <c r="DK97" s="281"/>
      <c r="DL97" s="281">
        <v>627.55493545423042</v>
      </c>
      <c r="DM97" s="281">
        <v>949.52004321866048</v>
      </c>
      <c r="DN97" s="281">
        <v>1149.6780820424701</v>
      </c>
      <c r="DO97" s="281">
        <v>1368.0698172441012</v>
      </c>
      <c r="DP97" s="281">
        <v>1654.6003972614956</v>
      </c>
      <c r="DQ97" s="281">
        <v>1963.2305231755574</v>
      </c>
      <c r="DR97" s="281">
        <v>2486.1871254188277</v>
      </c>
      <c r="DS97" s="281">
        <v>4063.6299912018089</v>
      </c>
      <c r="DT97" s="281">
        <v>6164.0294592280607</v>
      </c>
      <c r="DU97" s="281">
        <v>1577.4428657829803</v>
      </c>
      <c r="DV97" s="281">
        <v>1403.3224075319108</v>
      </c>
      <c r="DW97" s="281">
        <v>1531.8479942452002</v>
      </c>
      <c r="DX97" s="281">
        <v>1842.89812326879</v>
      </c>
      <c r="DY97" s="281">
        <v>2800.4810427963644</v>
      </c>
      <c r="DZ97" s="281"/>
      <c r="EA97" s="281"/>
      <c r="EB97" s="281"/>
      <c r="EC97" s="281"/>
      <c r="ED97" s="281"/>
      <c r="EE97" s="281"/>
      <c r="EF97" s="281"/>
      <c r="EG97" s="281"/>
      <c r="EH97" s="281"/>
      <c r="EI97" s="281"/>
      <c r="EJ97" s="281"/>
      <c r="EK97" s="281">
        <v>3257.6276363081734</v>
      </c>
      <c r="EL97" s="281">
        <v>146854.92932603759</v>
      </c>
    </row>
    <row r="98" spans="1:142" x14ac:dyDescent="0.25">
      <c r="A98" s="279" t="s">
        <v>1563</v>
      </c>
      <c r="B98" s="281">
        <v>688.07872182221138</v>
      </c>
      <c r="C98" s="281">
        <v>74.233989460114685</v>
      </c>
      <c r="D98" s="281">
        <v>8.7899771628640497</v>
      </c>
      <c r="E98" s="281">
        <v>526.06549084781727</v>
      </c>
      <c r="F98" s="281">
        <v>272.32956912457763</v>
      </c>
      <c r="G98" s="281">
        <v>4972.9348543427614</v>
      </c>
      <c r="H98" s="281">
        <v>412.05031905765043</v>
      </c>
      <c r="I98" s="281">
        <v>27.191253717850596</v>
      </c>
      <c r="J98" s="281">
        <v>32.614535468606583</v>
      </c>
      <c r="K98" s="281">
        <v>9.2196776200260185E-4</v>
      </c>
      <c r="L98" s="281">
        <v>350.84141760224259</v>
      </c>
      <c r="M98" s="281">
        <v>1370.3679516961179</v>
      </c>
      <c r="N98" s="281">
        <v>31.699206132065928</v>
      </c>
      <c r="O98" s="281">
        <v>15.499654121229318</v>
      </c>
      <c r="P98" s="281">
        <v>2.0905562214358424</v>
      </c>
      <c r="Q98" s="281">
        <v>4.4269156932230898</v>
      </c>
      <c r="R98" s="281">
        <v>30.125405234060562</v>
      </c>
      <c r="S98" s="281">
        <v>74.262373601102809</v>
      </c>
      <c r="T98" s="281">
        <v>16.53448314872594</v>
      </c>
      <c r="U98" s="281">
        <v>66.96982738961951</v>
      </c>
      <c r="V98" s="281">
        <v>110.44978298001485</v>
      </c>
      <c r="W98" s="281">
        <v>61.54692698332444</v>
      </c>
      <c r="X98" s="281">
        <v>17.517104883341243</v>
      </c>
      <c r="Y98" s="281">
        <v>25.403842441542768</v>
      </c>
      <c r="Z98" s="281">
        <v>16.861913509530655</v>
      </c>
      <c r="AA98" s="281">
        <v>34.585549665035629</v>
      </c>
      <c r="AB98" s="281">
        <v>395.52622952583744</v>
      </c>
      <c r="AC98" s="281">
        <v>199.19744305807887</v>
      </c>
      <c r="AD98" s="281">
        <v>40.856127668021252</v>
      </c>
      <c r="AE98" s="281">
        <v>23.806819236026524</v>
      </c>
      <c r="AF98" s="281">
        <v>22.968670316702028</v>
      </c>
      <c r="AG98" s="281">
        <v>7.8677376787724729</v>
      </c>
      <c r="AH98" s="281">
        <v>55.73401574844906</v>
      </c>
      <c r="AI98" s="281">
        <v>5.274760149974278</v>
      </c>
      <c r="AJ98" s="281">
        <v>10.928786335513854</v>
      </c>
      <c r="AK98" s="281">
        <v>24.686894070870576</v>
      </c>
      <c r="AL98" s="478">
        <v>26.804245918359381</v>
      </c>
      <c r="AM98" s="281">
        <v>17457.282324530894</v>
      </c>
      <c r="AN98" s="281">
        <v>112.45428834340542</v>
      </c>
      <c r="AO98" s="281">
        <v>3014.5570062200318</v>
      </c>
      <c r="AP98" s="281">
        <v>130.47392180591513</v>
      </c>
      <c r="AQ98" s="281">
        <v>0.82840443727295932</v>
      </c>
      <c r="AR98" s="281">
        <v>6.0250487043922583</v>
      </c>
      <c r="AS98" s="281">
        <v>47.616318659738781</v>
      </c>
      <c r="AT98" s="281">
        <v>111.57051997481084</v>
      </c>
      <c r="AU98" s="281">
        <v>349.07020731450189</v>
      </c>
      <c r="AV98" s="281">
        <v>81.990244718058221</v>
      </c>
      <c r="AW98" s="281">
        <v>84.067688312466942</v>
      </c>
      <c r="AX98" s="281">
        <v>2639.3613621446448</v>
      </c>
      <c r="AY98" s="281">
        <v>549.5233115490048</v>
      </c>
      <c r="AZ98" s="281">
        <v>668.01803739640593</v>
      </c>
      <c r="BA98" s="281"/>
      <c r="BB98" s="281"/>
      <c r="BC98" s="281"/>
      <c r="BD98" s="281"/>
      <c r="BE98" s="281"/>
      <c r="BF98" s="281"/>
      <c r="BG98" s="281"/>
      <c r="BH98" s="281"/>
      <c r="BI98" s="281"/>
      <c r="BJ98" s="281"/>
      <c r="BK98" s="281"/>
      <c r="BL98" s="281"/>
      <c r="BM98" s="281"/>
      <c r="BN98" s="281"/>
      <c r="BO98" s="281"/>
      <c r="BP98" s="281"/>
      <c r="BQ98" s="281"/>
      <c r="BR98" s="281"/>
      <c r="BS98" s="281"/>
      <c r="BT98" s="281"/>
      <c r="BU98" s="281"/>
      <c r="BV98" s="281"/>
      <c r="BW98" s="281"/>
      <c r="BX98" s="281"/>
      <c r="BY98" s="281"/>
      <c r="BZ98" s="281"/>
      <c r="CA98" s="281"/>
      <c r="CB98" s="281"/>
      <c r="CC98" s="281"/>
      <c r="CD98" s="281"/>
      <c r="CE98" s="281"/>
      <c r="CF98" s="281"/>
      <c r="CG98" s="281"/>
      <c r="CH98" s="281"/>
      <c r="CI98" s="281"/>
      <c r="CJ98" s="281"/>
      <c r="CK98" s="281"/>
      <c r="CL98" s="281"/>
      <c r="CM98" s="281"/>
      <c r="CN98" s="281"/>
      <c r="CO98" s="281"/>
      <c r="CP98" s="281"/>
      <c r="CQ98" s="281"/>
      <c r="CR98" s="281"/>
      <c r="CS98" s="281"/>
      <c r="CT98" s="281"/>
      <c r="CU98" s="281"/>
      <c r="CV98" s="281"/>
      <c r="CW98" s="281"/>
      <c r="CX98" s="281"/>
      <c r="CY98" s="281"/>
      <c r="CZ98" s="281"/>
      <c r="DA98" s="281"/>
      <c r="DB98" s="281"/>
      <c r="DC98" s="281"/>
      <c r="DD98" s="281"/>
      <c r="DE98" s="281"/>
      <c r="DF98" s="281"/>
      <c r="DG98" s="281"/>
      <c r="DH98" s="281"/>
      <c r="DI98" s="281"/>
      <c r="DJ98" s="281"/>
      <c r="DK98" s="281"/>
      <c r="DL98" s="281">
        <v>228.75735037727151</v>
      </c>
      <c r="DM98" s="281">
        <v>472.43714325282644</v>
      </c>
      <c r="DN98" s="281">
        <v>506.98765396818311</v>
      </c>
      <c r="DO98" s="281">
        <v>754.68474183825208</v>
      </c>
      <c r="DP98" s="281">
        <v>923.95181507765358</v>
      </c>
      <c r="DQ98" s="281">
        <v>1179.039229125488</v>
      </c>
      <c r="DR98" s="281">
        <v>1521.4631444631166</v>
      </c>
      <c r="DS98" s="281">
        <v>1890.3981396334843</v>
      </c>
      <c r="DT98" s="281">
        <v>3118.3094599134124</v>
      </c>
      <c r="DU98" s="281">
        <v>1138.4239286711443</v>
      </c>
      <c r="DV98" s="281">
        <v>839.07838631325342</v>
      </c>
      <c r="DW98" s="281">
        <v>837.14328529283057</v>
      </c>
      <c r="DX98" s="281">
        <v>1146.4544722643864</v>
      </c>
      <c r="DY98" s="281">
        <v>1465.5568838668623</v>
      </c>
      <c r="DZ98" s="281"/>
      <c r="EA98" s="281"/>
      <c r="EB98" s="281"/>
      <c r="EC98" s="281"/>
      <c r="ED98" s="281"/>
      <c r="EE98" s="281"/>
      <c r="EF98" s="281"/>
      <c r="EG98" s="281"/>
      <c r="EH98" s="281"/>
      <c r="EI98" s="281"/>
      <c r="EJ98" s="281">
        <v>600.15141664519479</v>
      </c>
      <c r="EK98" s="281">
        <v>614.67492791063557</v>
      </c>
      <c r="EL98" s="281">
        <v>52547.474936706989</v>
      </c>
    </row>
    <row r="99" spans="1:142" x14ac:dyDescent="0.25">
      <c r="A99" s="279" t="s">
        <v>1562</v>
      </c>
      <c r="B99" s="281">
        <v>35.233769525579959</v>
      </c>
      <c r="C99" s="281">
        <v>3.7321720861640522</v>
      </c>
      <c r="D99" s="281">
        <v>0.40792640581142797</v>
      </c>
      <c r="E99" s="281">
        <v>40.447913695322363</v>
      </c>
      <c r="F99" s="281">
        <v>58.923730117492497</v>
      </c>
      <c r="G99" s="281">
        <v>196.50887723177107</v>
      </c>
      <c r="H99" s="281">
        <v>14.486975722720253</v>
      </c>
      <c r="I99" s="281">
        <v>0.95599739706963982</v>
      </c>
      <c r="J99" s="281">
        <v>1.1466705926161316</v>
      </c>
      <c r="K99" s="281">
        <v>3.3827633711735723E-4</v>
      </c>
      <c r="L99" s="281">
        <v>67.119864242424512</v>
      </c>
      <c r="M99" s="281">
        <v>32.385527491582152</v>
      </c>
      <c r="N99" s="281">
        <v>2.3031543089948494</v>
      </c>
      <c r="O99" s="281">
        <v>11.945934478810283</v>
      </c>
      <c r="P99" s="281">
        <v>0.45467936941203146</v>
      </c>
      <c r="Q99" s="281">
        <v>8.77740721302842</v>
      </c>
      <c r="R99" s="281">
        <v>35.513118887509563</v>
      </c>
      <c r="S99" s="281">
        <v>5.9376783362136472</v>
      </c>
      <c r="T99" s="281">
        <v>167.27015893374099</v>
      </c>
      <c r="U99" s="281">
        <v>284.73498240681488</v>
      </c>
      <c r="V99" s="281">
        <v>40.524787917455406</v>
      </c>
      <c r="W99" s="281">
        <v>11.34937211931013</v>
      </c>
      <c r="X99" s="281">
        <v>0.87315352658356338</v>
      </c>
      <c r="Y99" s="281">
        <v>9.1742071443542628</v>
      </c>
      <c r="Z99" s="281">
        <v>0.77674155704081382</v>
      </c>
      <c r="AA99" s="281">
        <v>4.1523033080832841</v>
      </c>
      <c r="AB99" s="281">
        <v>54.171655012329637</v>
      </c>
      <c r="AC99" s="281">
        <v>24.012894082366003</v>
      </c>
      <c r="AD99" s="281">
        <v>40.386092735213929</v>
      </c>
      <c r="AE99" s="281">
        <v>38.270381676404398</v>
      </c>
      <c r="AF99" s="281">
        <v>480.86332983783382</v>
      </c>
      <c r="AG99" s="281">
        <v>10.632431755378299</v>
      </c>
      <c r="AH99" s="281">
        <v>39.783950731377516</v>
      </c>
      <c r="AI99" s="281">
        <v>7.8311455848013471</v>
      </c>
      <c r="AJ99" s="281">
        <v>1.2364652525982129</v>
      </c>
      <c r="AK99" s="281">
        <v>25.252029838260167</v>
      </c>
      <c r="AL99" s="478">
        <v>4.552451162251268</v>
      </c>
      <c r="AM99" s="281">
        <v>4062.7041893959167</v>
      </c>
      <c r="AN99" s="281">
        <v>1418.4907439268331</v>
      </c>
      <c r="AO99" s="281">
        <v>59.643156530603058</v>
      </c>
      <c r="AP99" s="281">
        <v>61.806966506693385</v>
      </c>
      <c r="AQ99" s="281">
        <v>1.3574921318987045</v>
      </c>
      <c r="AR99" s="281">
        <v>13.951938526950988</v>
      </c>
      <c r="AS99" s="281">
        <v>131.22012058676086</v>
      </c>
      <c r="AT99" s="281">
        <v>208.59663173044768</v>
      </c>
      <c r="AU99" s="281">
        <v>652.63538701525738</v>
      </c>
      <c r="AV99" s="281">
        <v>492.73958639087061</v>
      </c>
      <c r="AW99" s="281">
        <v>11.605226620813877</v>
      </c>
      <c r="AX99" s="281">
        <v>90278.119832200566</v>
      </c>
      <c r="AY99" s="281">
        <v>191.47875321890683</v>
      </c>
      <c r="AZ99" s="281">
        <v>224.34170460196191</v>
      </c>
      <c r="BA99" s="281"/>
      <c r="BB99" s="281"/>
      <c r="BC99" s="281"/>
      <c r="BD99" s="281"/>
      <c r="BE99" s="281"/>
      <c r="BF99" s="281"/>
      <c r="BG99" s="281"/>
      <c r="BH99" s="281"/>
      <c r="BI99" s="281"/>
      <c r="BJ99" s="281"/>
      <c r="BK99" s="281"/>
      <c r="BL99" s="281"/>
      <c r="BM99" s="281"/>
      <c r="BN99" s="281"/>
      <c r="BO99" s="281"/>
      <c r="BP99" s="281"/>
      <c r="BQ99" s="281"/>
      <c r="BR99" s="281"/>
      <c r="BS99" s="281"/>
      <c r="BT99" s="281"/>
      <c r="BU99" s="281"/>
      <c r="BV99" s="281"/>
      <c r="BW99" s="281"/>
      <c r="BX99" s="281"/>
      <c r="BY99" s="281"/>
      <c r="BZ99" s="281"/>
      <c r="CA99" s="281"/>
      <c r="CB99" s="281"/>
      <c r="CC99" s="281"/>
      <c r="CD99" s="281"/>
      <c r="CE99" s="281"/>
      <c r="CF99" s="281"/>
      <c r="CG99" s="281"/>
      <c r="CH99" s="281"/>
      <c r="CI99" s="281"/>
      <c r="CJ99" s="281"/>
      <c r="CK99" s="281"/>
      <c r="CL99" s="281"/>
      <c r="CM99" s="281"/>
      <c r="CN99" s="281"/>
      <c r="CO99" s="281"/>
      <c r="CP99" s="281"/>
      <c r="CQ99" s="281"/>
      <c r="CR99" s="281"/>
      <c r="CS99" s="281"/>
      <c r="CT99" s="281"/>
      <c r="CU99" s="281"/>
      <c r="CV99" s="281"/>
      <c r="CW99" s="281"/>
      <c r="CX99" s="281"/>
      <c r="CY99" s="281"/>
      <c r="CZ99" s="281"/>
      <c r="DA99" s="281"/>
      <c r="DB99" s="281"/>
      <c r="DC99" s="281"/>
      <c r="DD99" s="281"/>
      <c r="DE99" s="281"/>
      <c r="DF99" s="281"/>
      <c r="DG99" s="281"/>
      <c r="DH99" s="281"/>
      <c r="DI99" s="281"/>
      <c r="DJ99" s="281"/>
      <c r="DK99" s="281"/>
      <c r="DL99" s="281">
        <v>10.027876534175835</v>
      </c>
      <c r="DM99" s="281">
        <v>20.61368883756986</v>
      </c>
      <c r="DN99" s="281">
        <v>50.36798872119892</v>
      </c>
      <c r="DO99" s="281">
        <v>44.124149804682979</v>
      </c>
      <c r="DP99" s="281">
        <v>66.874540165535251</v>
      </c>
      <c r="DQ99" s="281">
        <v>94.265956986105053</v>
      </c>
      <c r="DR99" s="281">
        <v>191.49314822308256</v>
      </c>
      <c r="DS99" s="281">
        <v>266.51108257851683</v>
      </c>
      <c r="DT99" s="281">
        <v>703.29313458219735</v>
      </c>
      <c r="DU99" s="281">
        <v>158.42603242167391</v>
      </c>
      <c r="DV99" s="281">
        <v>226.5344201917394</v>
      </c>
      <c r="DW99" s="281">
        <v>205.06547187291437</v>
      </c>
      <c r="DX99" s="281">
        <v>350.41271968656855</v>
      </c>
      <c r="DY99" s="281">
        <v>404.7020142858961</v>
      </c>
      <c r="DZ99" s="281"/>
      <c r="EA99" s="281"/>
      <c r="EB99" s="281"/>
      <c r="EC99" s="281"/>
      <c r="ED99" s="281"/>
      <c r="EE99" s="281"/>
      <c r="EF99" s="281"/>
      <c r="EG99" s="281"/>
      <c r="EH99" s="281">
        <v>262214.4875590154</v>
      </c>
      <c r="EI99" s="281">
        <v>13967.378728974796</v>
      </c>
      <c r="EJ99" s="281">
        <v>250.4566248036862</v>
      </c>
      <c r="EK99" s="281">
        <v>730.95663662462596</v>
      </c>
      <c r="EL99" s="281">
        <v>379526.81377365591</v>
      </c>
    </row>
    <row r="100" spans="1:142" x14ac:dyDescent="0.25">
      <c r="A100" s="279" t="s">
        <v>1561</v>
      </c>
      <c r="B100" s="281">
        <v>99.512831106020968</v>
      </c>
      <c r="C100" s="281">
        <v>10.437447458604989</v>
      </c>
      <c r="D100" s="281">
        <v>0.9533944655282518</v>
      </c>
      <c r="E100" s="281">
        <v>19.289348375119282</v>
      </c>
      <c r="F100" s="281">
        <v>21.127108776419192</v>
      </c>
      <c r="G100" s="281">
        <v>39.199880361905038</v>
      </c>
      <c r="H100" s="281">
        <v>6.8458536533812646</v>
      </c>
      <c r="I100" s="281">
        <v>0.45175876584704289</v>
      </c>
      <c r="J100" s="281">
        <v>0.54186182236605585</v>
      </c>
      <c r="K100" s="281">
        <v>5.2118632069377078E-4</v>
      </c>
      <c r="L100" s="281">
        <v>161.83538120219299</v>
      </c>
      <c r="M100" s="281">
        <v>107.79330288417442</v>
      </c>
      <c r="N100" s="281">
        <v>29.041153693313191</v>
      </c>
      <c r="O100" s="281">
        <v>18.624212675072663</v>
      </c>
      <c r="P100" s="281">
        <v>4.4860097622988748</v>
      </c>
      <c r="Q100" s="281">
        <v>7.3547552306125148</v>
      </c>
      <c r="R100" s="281">
        <v>29.39760909889355</v>
      </c>
      <c r="S100" s="281">
        <v>123.23327839267833</v>
      </c>
      <c r="T100" s="281">
        <v>61.243678381985177</v>
      </c>
      <c r="U100" s="281">
        <v>20.819981973209497</v>
      </c>
      <c r="V100" s="281">
        <v>62.437016114037341</v>
      </c>
      <c r="W100" s="281">
        <v>96.11106361542322</v>
      </c>
      <c r="X100" s="281">
        <v>7.550611559356148</v>
      </c>
      <c r="Y100" s="281">
        <v>28.066357173951936</v>
      </c>
      <c r="Z100" s="281">
        <v>4.9740278549112551</v>
      </c>
      <c r="AA100" s="281">
        <v>24.756908396825146</v>
      </c>
      <c r="AB100" s="281">
        <v>137.52355263064302</v>
      </c>
      <c r="AC100" s="281">
        <v>29.342863432730894</v>
      </c>
      <c r="AD100" s="281">
        <v>50.327192873413878</v>
      </c>
      <c r="AE100" s="281">
        <v>48.608835000525673</v>
      </c>
      <c r="AF100" s="281">
        <v>35.54913378923257</v>
      </c>
      <c r="AG100" s="281">
        <v>11.535290712979663</v>
      </c>
      <c r="AH100" s="281">
        <v>142.24090773976562</v>
      </c>
      <c r="AI100" s="281">
        <v>21.587594232129131</v>
      </c>
      <c r="AJ100" s="281">
        <v>20.718290350528431</v>
      </c>
      <c r="AK100" s="281">
        <v>13.131016371253365</v>
      </c>
      <c r="AL100" s="478">
        <v>35.923166192267566</v>
      </c>
      <c r="AM100" s="281">
        <v>6.2393101718557356</v>
      </c>
      <c r="AN100" s="281">
        <v>72.147597767951922</v>
      </c>
      <c r="AO100" s="281">
        <v>1428.9442172322017</v>
      </c>
      <c r="AP100" s="281">
        <v>82.214584839786838</v>
      </c>
      <c r="AQ100" s="281">
        <v>8.9697523535864541</v>
      </c>
      <c r="AR100" s="281">
        <v>103.54201549355656</v>
      </c>
      <c r="AS100" s="281">
        <v>171.29507776856741</v>
      </c>
      <c r="AT100" s="281">
        <v>364.52518303876184</v>
      </c>
      <c r="AU100" s="281">
        <v>1140.4883767094148</v>
      </c>
      <c r="AV100" s="281">
        <v>1070.4548689424341</v>
      </c>
      <c r="AW100" s="281">
        <v>73.87700701656496</v>
      </c>
      <c r="AX100" s="281">
        <v>44806.50613729949</v>
      </c>
      <c r="AY100" s="281">
        <v>208.56180510463932</v>
      </c>
      <c r="AZ100" s="281">
        <v>372.98460299460874</v>
      </c>
      <c r="BA100" s="281"/>
      <c r="BB100" s="281"/>
      <c r="BC100" s="281"/>
      <c r="BD100" s="281"/>
      <c r="BE100" s="281"/>
      <c r="BF100" s="281"/>
      <c r="BG100" s="281"/>
      <c r="BH100" s="281"/>
      <c r="BI100" s="281"/>
      <c r="BJ100" s="281"/>
      <c r="BK100" s="281"/>
      <c r="BL100" s="281"/>
      <c r="BM100" s="281"/>
      <c r="BN100" s="281"/>
      <c r="BO100" s="281"/>
      <c r="BP100" s="281"/>
      <c r="BQ100" s="281"/>
      <c r="BR100" s="281"/>
      <c r="BS100" s="281"/>
      <c r="BT100" s="281"/>
      <c r="BU100" s="281"/>
      <c r="BV100" s="281"/>
      <c r="BW100" s="281"/>
      <c r="BX100" s="281"/>
      <c r="BY100" s="281"/>
      <c r="BZ100" s="281"/>
      <c r="CA100" s="281"/>
      <c r="CB100" s="281"/>
      <c r="CC100" s="281"/>
      <c r="CD100" s="281"/>
      <c r="CE100" s="281"/>
      <c r="CF100" s="281"/>
      <c r="CG100" s="281"/>
      <c r="CH100" s="281"/>
      <c r="CI100" s="281"/>
      <c r="CJ100" s="281"/>
      <c r="CK100" s="281"/>
      <c r="CL100" s="281"/>
      <c r="CM100" s="281"/>
      <c r="CN100" s="281"/>
      <c r="CO100" s="281"/>
      <c r="CP100" s="281"/>
      <c r="CQ100" s="281"/>
      <c r="CR100" s="281"/>
      <c r="CS100" s="281"/>
      <c r="CT100" s="281"/>
      <c r="CU100" s="281"/>
      <c r="CV100" s="281"/>
      <c r="CW100" s="281"/>
      <c r="CX100" s="281"/>
      <c r="CY100" s="281"/>
      <c r="CZ100" s="281"/>
      <c r="DA100" s="281"/>
      <c r="DB100" s="281"/>
      <c r="DC100" s="281">
        <v>651295.79845068359</v>
      </c>
      <c r="DD100" s="281"/>
      <c r="DE100" s="281"/>
      <c r="DF100" s="281"/>
      <c r="DG100" s="281"/>
      <c r="DH100" s="281"/>
      <c r="DI100" s="281"/>
      <c r="DJ100" s="281"/>
      <c r="DK100" s="281"/>
      <c r="DL100" s="281"/>
      <c r="DM100" s="281"/>
      <c r="DN100" s="281"/>
      <c r="DO100" s="281"/>
      <c r="DP100" s="281"/>
      <c r="DQ100" s="281"/>
      <c r="DR100" s="281"/>
      <c r="DS100" s="281"/>
      <c r="DT100" s="281"/>
      <c r="DU100" s="281"/>
      <c r="DV100" s="281"/>
      <c r="DW100" s="281"/>
      <c r="DX100" s="281"/>
      <c r="DY100" s="281"/>
      <c r="DZ100" s="281"/>
      <c r="EA100" s="281"/>
      <c r="EB100" s="281"/>
      <c r="EC100" s="281"/>
      <c r="ED100" s="281"/>
      <c r="EE100" s="281"/>
      <c r="EF100" s="281"/>
      <c r="EG100" s="281"/>
      <c r="EH100" s="281"/>
      <c r="EI100" s="281"/>
      <c r="EJ100" s="281">
        <v>255.14911535385843</v>
      </c>
      <c r="EK100" s="281">
        <v>4800.5302675603534</v>
      </c>
      <c r="EL100" s="281">
        <v>707794.80156763713</v>
      </c>
    </row>
    <row r="101" spans="1:142" x14ac:dyDescent="0.25">
      <c r="A101" s="279" t="s">
        <v>1560</v>
      </c>
      <c r="B101" s="281">
        <v>6.8302973710460586</v>
      </c>
      <c r="C101" s="281"/>
      <c r="D101" s="281"/>
      <c r="E101" s="281">
        <v>55.068768027799194</v>
      </c>
      <c r="F101" s="281">
        <v>20.914929418186667</v>
      </c>
      <c r="G101" s="281">
        <v>147.58441460443487</v>
      </c>
      <c r="H101" s="281">
        <v>24.754199663202417</v>
      </c>
      <c r="I101" s="281">
        <v>1.633532829591851</v>
      </c>
      <c r="J101" s="281">
        <v>1.9593401232132708</v>
      </c>
      <c r="K101" s="281">
        <v>5.9119331773188285E-4</v>
      </c>
      <c r="L101" s="281">
        <v>108.76369821391245</v>
      </c>
      <c r="M101" s="281">
        <v>53.342188109180363</v>
      </c>
      <c r="N101" s="281">
        <v>15.58029083841169</v>
      </c>
      <c r="O101" s="281">
        <v>13.190090354079041</v>
      </c>
      <c r="P101" s="281">
        <v>3.6013925483835556</v>
      </c>
      <c r="Q101" s="281">
        <v>5.8560687207653306</v>
      </c>
      <c r="R101" s="281">
        <v>33.760294363998078</v>
      </c>
      <c r="S101" s="281">
        <v>47.942652282366979</v>
      </c>
      <c r="T101" s="281">
        <v>83.507969839262614</v>
      </c>
      <c r="U101" s="281">
        <v>34.608675514970408</v>
      </c>
      <c r="V101" s="281">
        <v>70.823705918837916</v>
      </c>
      <c r="W101" s="281">
        <v>97.3020661884199</v>
      </c>
      <c r="X101" s="281">
        <v>13.847801375967183</v>
      </c>
      <c r="Y101" s="281">
        <v>112.72312002445304</v>
      </c>
      <c r="Z101" s="281">
        <v>7.8455864167045224</v>
      </c>
      <c r="AA101" s="281">
        <v>40.921052779058655</v>
      </c>
      <c r="AB101" s="281">
        <v>30.153336774298829</v>
      </c>
      <c r="AC101" s="281">
        <v>10.918515319943934</v>
      </c>
      <c r="AD101" s="281">
        <v>67.258316864963291</v>
      </c>
      <c r="AE101" s="281">
        <v>115.22894375126199</v>
      </c>
      <c r="AF101" s="281">
        <v>72.489083446518407</v>
      </c>
      <c r="AG101" s="281">
        <v>38.209848574020953</v>
      </c>
      <c r="AH101" s="281">
        <v>143.16368652705043</v>
      </c>
      <c r="AI101" s="281">
        <v>7.5057269598454575</v>
      </c>
      <c r="AJ101" s="281">
        <v>13.173532291948224</v>
      </c>
      <c r="AK101" s="281">
        <v>34.111111630110798</v>
      </c>
      <c r="AL101" s="478">
        <v>134.14529477365224</v>
      </c>
      <c r="AM101" s="281">
        <v>16.28631540491498</v>
      </c>
      <c r="AN101" s="281">
        <v>645.45260840946048</v>
      </c>
      <c r="AO101" s="281">
        <v>2364.4674324829457</v>
      </c>
      <c r="AP101" s="281">
        <v>339.84348693087463</v>
      </c>
      <c r="AQ101" s="281">
        <v>18.763569569625911</v>
      </c>
      <c r="AR101" s="281">
        <v>587.5084733789173</v>
      </c>
      <c r="AS101" s="281">
        <v>524.16115902072522</v>
      </c>
      <c r="AT101" s="281">
        <v>870.42056028463855</v>
      </c>
      <c r="AU101" s="281">
        <v>2723.2810736918755</v>
      </c>
      <c r="AV101" s="281">
        <v>2521.3068355764544</v>
      </c>
      <c r="AW101" s="281">
        <v>66.285754106791515</v>
      </c>
      <c r="AX101" s="281">
        <v>5817.708784850036</v>
      </c>
      <c r="AY101" s="281">
        <v>993.7443286389547</v>
      </c>
      <c r="AZ101" s="281">
        <v>11987.938910287858</v>
      </c>
      <c r="BA101" s="281"/>
      <c r="BB101" s="281"/>
      <c r="BC101" s="281"/>
      <c r="BD101" s="281"/>
      <c r="BE101" s="281"/>
      <c r="BF101" s="281"/>
      <c r="BG101" s="281"/>
      <c r="BH101" s="281"/>
      <c r="BI101" s="281"/>
      <c r="BJ101" s="281"/>
      <c r="BK101" s="281"/>
      <c r="BL101" s="281"/>
      <c r="BM101" s="281"/>
      <c r="BN101" s="281"/>
      <c r="BO101" s="281"/>
      <c r="BP101" s="281"/>
      <c r="BQ101" s="281"/>
      <c r="BR101" s="281"/>
      <c r="BS101" s="281"/>
      <c r="BT101" s="281"/>
      <c r="BU101" s="281"/>
      <c r="BV101" s="281"/>
      <c r="BW101" s="281"/>
      <c r="BX101" s="281"/>
      <c r="BY101" s="281"/>
      <c r="BZ101" s="281"/>
      <c r="CA101" s="281"/>
      <c r="CB101" s="281"/>
      <c r="CC101" s="281"/>
      <c r="CD101" s="281"/>
      <c r="CE101" s="281"/>
      <c r="CF101" s="281"/>
      <c r="CG101" s="281"/>
      <c r="CH101" s="281"/>
      <c r="CI101" s="281"/>
      <c r="CJ101" s="281"/>
      <c r="CK101" s="281"/>
      <c r="CL101" s="281"/>
      <c r="CM101" s="281"/>
      <c r="CN101" s="281"/>
      <c r="CO101" s="281"/>
      <c r="CP101" s="281"/>
      <c r="CQ101" s="281"/>
      <c r="CR101" s="281"/>
      <c r="CS101" s="281"/>
      <c r="CT101" s="281"/>
      <c r="CU101" s="281"/>
      <c r="CV101" s="281"/>
      <c r="CW101" s="281"/>
      <c r="CX101" s="281"/>
      <c r="CY101" s="281"/>
      <c r="CZ101" s="281"/>
      <c r="DA101" s="281"/>
      <c r="DB101" s="281"/>
      <c r="DC101" s="281"/>
      <c r="DD101" s="281"/>
      <c r="DE101" s="281"/>
      <c r="DF101" s="281"/>
      <c r="DG101" s="281"/>
      <c r="DH101" s="281"/>
      <c r="DI101" s="281"/>
      <c r="DJ101" s="281"/>
      <c r="DK101" s="281"/>
      <c r="DL101" s="281">
        <v>413.67388155218111</v>
      </c>
      <c r="DM101" s="281">
        <v>928.97081794699159</v>
      </c>
      <c r="DN101" s="281">
        <v>1435.54959418674</v>
      </c>
      <c r="DO101" s="281">
        <v>1773.9607748934091</v>
      </c>
      <c r="DP101" s="281">
        <v>2343.9885857913291</v>
      </c>
      <c r="DQ101" s="281">
        <v>3079.0897279348828</v>
      </c>
      <c r="DR101" s="281">
        <v>4433.6120587327741</v>
      </c>
      <c r="DS101" s="281">
        <v>6530.8294266876082</v>
      </c>
      <c r="DT101" s="281">
        <v>10591.093723997999</v>
      </c>
      <c r="DU101" s="281">
        <v>3769.6482340865646</v>
      </c>
      <c r="DV101" s="281">
        <v>4009.4955795886422</v>
      </c>
      <c r="DW101" s="281">
        <v>3818.5154957367504</v>
      </c>
      <c r="DX101" s="281">
        <v>5173.8949113906592</v>
      </c>
      <c r="DY101" s="281">
        <v>7177.4894536261145</v>
      </c>
      <c r="DZ101" s="281"/>
      <c r="EA101" s="281"/>
      <c r="EB101" s="281"/>
      <c r="EC101" s="281"/>
      <c r="ED101" s="281"/>
      <c r="EE101" s="281"/>
      <c r="EF101" s="281"/>
      <c r="EG101" s="281"/>
      <c r="EH101" s="281"/>
      <c r="EI101" s="281"/>
      <c r="EJ101" s="281">
        <v>1256.3984954866874</v>
      </c>
      <c r="EK101" s="281">
        <v>22369.227343869505</v>
      </c>
      <c r="EL101" s="281">
        <v>110251.32752177611</v>
      </c>
    </row>
    <row r="102" spans="1:142" x14ac:dyDescent="0.25">
      <c r="A102" s="279" t="s">
        <v>1559</v>
      </c>
      <c r="B102" s="281"/>
      <c r="C102" s="281"/>
      <c r="D102" s="281"/>
      <c r="E102" s="281">
        <v>274.65761388092113</v>
      </c>
      <c r="F102" s="281"/>
      <c r="G102" s="281">
        <v>347.87627275216727</v>
      </c>
      <c r="H102" s="281">
        <v>65.251928751281426</v>
      </c>
      <c r="I102" s="281">
        <v>4.3059831971807352</v>
      </c>
      <c r="J102" s="281">
        <v>5.1648093599847567</v>
      </c>
      <c r="K102" s="281">
        <v>1.8988576729966249E-3</v>
      </c>
      <c r="L102" s="281">
        <v>730.39959667508583</v>
      </c>
      <c r="M102" s="281">
        <v>336.18256309388687</v>
      </c>
      <c r="N102" s="281">
        <v>163.47889125714795</v>
      </c>
      <c r="O102" s="281">
        <v>150.86297890521013</v>
      </c>
      <c r="P102" s="281">
        <v>16.45433640748697</v>
      </c>
      <c r="Q102" s="281">
        <v>48.516917202970752</v>
      </c>
      <c r="R102" s="281">
        <v>170.13663489580847</v>
      </c>
      <c r="S102" s="281">
        <v>175.30408125440675</v>
      </c>
      <c r="T102" s="281">
        <v>457.87066988686206</v>
      </c>
      <c r="U102" s="281">
        <v>57.704080361573681</v>
      </c>
      <c r="V102" s="281">
        <v>227.479122954216</v>
      </c>
      <c r="W102" s="281">
        <v>664.62543849573137</v>
      </c>
      <c r="X102" s="281">
        <v>66.440922750047633</v>
      </c>
      <c r="Y102" s="281">
        <v>167.14345824641782</v>
      </c>
      <c r="Z102" s="281">
        <v>47.961069385116396</v>
      </c>
      <c r="AA102" s="281">
        <v>138.42546828403809</v>
      </c>
      <c r="AB102" s="281">
        <v>559.35508094795694</v>
      </c>
      <c r="AC102" s="281">
        <v>81.249562603043771</v>
      </c>
      <c r="AD102" s="281">
        <v>320.09558607081073</v>
      </c>
      <c r="AE102" s="281">
        <v>453.60601851144122</v>
      </c>
      <c r="AF102" s="281">
        <v>175.80805627719573</v>
      </c>
      <c r="AG102" s="281">
        <v>178.66959225647736</v>
      </c>
      <c r="AH102" s="281">
        <v>559.36335943818551</v>
      </c>
      <c r="AI102" s="281">
        <v>96.854648238145415</v>
      </c>
      <c r="AJ102" s="281">
        <v>56.301042951949114</v>
      </c>
      <c r="AK102" s="281">
        <v>68.396469022929935</v>
      </c>
      <c r="AL102" s="478">
        <v>8.6620528215840622</v>
      </c>
      <c r="AM102" s="281">
        <v>262.12416590492984</v>
      </c>
      <c r="AN102" s="281">
        <v>587.02777416386107</v>
      </c>
      <c r="AO102" s="281">
        <v>6246.5354393371981</v>
      </c>
      <c r="AP102" s="281">
        <v>1621.9880987614401</v>
      </c>
      <c r="AQ102" s="281">
        <v>44.795651351637183</v>
      </c>
      <c r="AR102" s="281">
        <v>774.74218943358221</v>
      </c>
      <c r="AS102" s="281">
        <v>1139.8172373216444</v>
      </c>
      <c r="AT102" s="281"/>
      <c r="AU102" s="281">
        <v>8510.0935201177308</v>
      </c>
      <c r="AV102" s="281">
        <v>5491.4486182228402</v>
      </c>
      <c r="AW102" s="281">
        <v>302.86629298445683</v>
      </c>
      <c r="AX102" s="281">
        <v>8929.4790760022552</v>
      </c>
      <c r="AY102" s="281">
        <v>4435.8506286162637</v>
      </c>
      <c r="AZ102" s="281">
        <v>1717.2002134910374</v>
      </c>
      <c r="BA102" s="281"/>
      <c r="BB102" s="281"/>
      <c r="BC102" s="281"/>
      <c r="BD102" s="281"/>
      <c r="BE102" s="281"/>
      <c r="BF102" s="281"/>
      <c r="BG102" s="281"/>
      <c r="BH102" s="281"/>
      <c r="BI102" s="281"/>
      <c r="BJ102" s="281"/>
      <c r="BK102" s="281"/>
      <c r="BL102" s="281"/>
      <c r="BM102" s="281"/>
      <c r="BN102" s="281"/>
      <c r="BO102" s="281"/>
      <c r="BP102" s="281"/>
      <c r="BQ102" s="281"/>
      <c r="BR102" s="281"/>
      <c r="BS102" s="281"/>
      <c r="BT102" s="281"/>
      <c r="BU102" s="281"/>
      <c r="BV102" s="281"/>
      <c r="BW102" s="281"/>
      <c r="BX102" s="281"/>
      <c r="BY102" s="281"/>
      <c r="BZ102" s="281"/>
      <c r="CA102" s="281"/>
      <c r="CB102" s="281"/>
      <c r="CC102" s="281"/>
      <c r="CD102" s="281"/>
      <c r="CE102" s="281"/>
      <c r="CF102" s="281"/>
      <c r="CG102" s="281"/>
      <c r="CH102" s="281"/>
      <c r="CI102" s="281"/>
      <c r="CJ102" s="281"/>
      <c r="CK102" s="281"/>
      <c r="CL102" s="281"/>
      <c r="CM102" s="281"/>
      <c r="CN102" s="281"/>
      <c r="CO102" s="281"/>
      <c r="CP102" s="281"/>
      <c r="CQ102" s="281"/>
      <c r="CR102" s="281"/>
      <c r="CS102" s="281"/>
      <c r="CT102" s="281"/>
      <c r="CU102" s="281"/>
      <c r="CV102" s="281"/>
      <c r="CW102" s="281"/>
      <c r="CX102" s="281"/>
      <c r="CY102" s="281"/>
      <c r="CZ102" s="281"/>
      <c r="DA102" s="281"/>
      <c r="DB102" s="281"/>
      <c r="DC102" s="281"/>
      <c r="DD102" s="281"/>
      <c r="DE102" s="281"/>
      <c r="DF102" s="281"/>
      <c r="DG102" s="281"/>
      <c r="DH102" s="281"/>
      <c r="DI102" s="281"/>
      <c r="DJ102" s="281"/>
      <c r="DK102" s="281"/>
      <c r="DL102" s="281">
        <v>2612.057874121776</v>
      </c>
      <c r="DM102" s="281">
        <v>4079.2857157746639</v>
      </c>
      <c r="DN102" s="281">
        <v>5244.7959202817119</v>
      </c>
      <c r="DO102" s="281">
        <v>6672.5459208028469</v>
      </c>
      <c r="DP102" s="281">
        <v>7692.3673497465115</v>
      </c>
      <c r="DQ102" s="281">
        <v>9382.3571462817308</v>
      </c>
      <c r="DR102" s="281">
        <v>11130.622453042302</v>
      </c>
      <c r="DS102" s="281">
        <v>11101.484697929622</v>
      </c>
      <c r="DT102" s="281">
        <v>9149.2551053803199</v>
      </c>
      <c r="DU102" s="281">
        <v>1576.3525515957808</v>
      </c>
      <c r="DV102" s="281">
        <v>1477.2841842126822</v>
      </c>
      <c r="DW102" s="281">
        <v>1794.8857149408527</v>
      </c>
      <c r="DX102" s="281">
        <v>2121.2285722028264</v>
      </c>
      <c r="DY102" s="281">
        <v>3525.6683686338174</v>
      </c>
      <c r="DZ102" s="281"/>
      <c r="EA102" s="281"/>
      <c r="EB102" s="281"/>
      <c r="EC102" s="281"/>
      <c r="ED102" s="281"/>
      <c r="EE102" s="281"/>
      <c r="EF102" s="281"/>
      <c r="EG102" s="281"/>
      <c r="EH102" s="281"/>
      <c r="EI102" s="281"/>
      <c r="EJ102" s="281">
        <v>121.15257680663895</v>
      </c>
      <c r="EK102" s="281">
        <v>19567.115441217124</v>
      </c>
      <c r="EL102" s="281">
        <v>144187.03470467505</v>
      </c>
    </row>
    <row r="103" spans="1:142" x14ac:dyDescent="0.25">
      <c r="A103" s="279" t="s">
        <v>1558</v>
      </c>
      <c r="B103" s="281">
        <v>22170.59653104459</v>
      </c>
      <c r="C103" s="281">
        <v>2349.3925147359255</v>
      </c>
      <c r="D103" s="281">
        <v>250.15372137519728</v>
      </c>
      <c r="E103" s="281">
        <v>2838.6637288084271</v>
      </c>
      <c r="F103" s="281">
        <v>768.16067804426996</v>
      </c>
      <c r="G103" s="281">
        <v>2410.0922036549136</v>
      </c>
      <c r="H103" s="281">
        <v>904.3005418620412</v>
      </c>
      <c r="I103" s="281">
        <v>59.674909431438294</v>
      </c>
      <c r="J103" s="281">
        <v>71.5770398243843</v>
      </c>
      <c r="K103" s="281">
        <v>0.1637032606521116</v>
      </c>
      <c r="L103" s="281">
        <v>5360.1226286128076</v>
      </c>
      <c r="M103" s="281">
        <v>734.4517426753132</v>
      </c>
      <c r="N103" s="281">
        <v>300.5913378349569</v>
      </c>
      <c r="O103" s="281">
        <v>158.36674316479434</v>
      </c>
      <c r="P103" s="281">
        <v>26.765304044175686</v>
      </c>
      <c r="Q103" s="281">
        <v>105.88323449138349</v>
      </c>
      <c r="R103" s="281">
        <v>1142.9431193213111</v>
      </c>
      <c r="S103" s="281">
        <v>1467.4394284276079</v>
      </c>
      <c r="T103" s="281">
        <v>430.61120042072747</v>
      </c>
      <c r="U103" s="281">
        <v>1470.4001312162163</v>
      </c>
      <c r="V103" s="281">
        <v>19611.303515507847</v>
      </c>
      <c r="W103" s="281">
        <v>8450.5049732902226</v>
      </c>
      <c r="X103" s="281">
        <v>564.83988735326784</v>
      </c>
      <c r="Y103" s="281">
        <v>457.70788017696117</v>
      </c>
      <c r="Z103" s="281">
        <v>98.471430698098871</v>
      </c>
      <c r="AA103" s="281">
        <v>2627.3443708556974</v>
      </c>
      <c r="AB103" s="281">
        <v>18364.020987788837</v>
      </c>
      <c r="AC103" s="281">
        <v>107.3209429819333</v>
      </c>
      <c r="AD103" s="281">
        <v>404.82707662841324</v>
      </c>
      <c r="AE103" s="281">
        <v>375.87954867458154</v>
      </c>
      <c r="AF103" s="281">
        <v>1189.3724372220086</v>
      </c>
      <c r="AG103" s="281">
        <v>44.978099581884329</v>
      </c>
      <c r="AH103" s="281">
        <v>827.38195626595518</v>
      </c>
      <c r="AI103" s="281">
        <v>16.817540555849334</v>
      </c>
      <c r="AJ103" s="281">
        <v>582.32312346520735</v>
      </c>
      <c r="AK103" s="281">
        <v>317.45637293854116</v>
      </c>
      <c r="AL103" s="479">
        <v>5450</v>
      </c>
      <c r="AM103" s="281">
        <v>170.20197035507221</v>
      </c>
      <c r="AN103" s="281">
        <v>8718.5136319177818</v>
      </c>
      <c r="AO103" s="281">
        <v>28479.43081351999</v>
      </c>
      <c r="AP103" s="281">
        <v>297.69997895420619</v>
      </c>
      <c r="AQ103" s="281">
        <v>1.1574756662215337</v>
      </c>
      <c r="AR103" s="281">
        <v>62.11156689992346</v>
      </c>
      <c r="AS103" s="281">
        <v>10785.83097286476</v>
      </c>
      <c r="AT103" s="281"/>
      <c r="AU103" s="281">
        <v>2197.5921040299313</v>
      </c>
      <c r="AV103" s="281">
        <v>43028.297587766247</v>
      </c>
      <c r="AW103" s="281">
        <v>1121.0089389811751</v>
      </c>
      <c r="AX103" s="281">
        <v>29964.314177796034</v>
      </c>
      <c r="AY103" s="281">
        <v>13155.452089933398</v>
      </c>
      <c r="AZ103" s="281">
        <v>12825.548900335341</v>
      </c>
      <c r="BA103" s="281"/>
      <c r="BB103" s="281"/>
      <c r="BC103" s="281"/>
      <c r="BD103" s="281"/>
      <c r="BE103" s="281"/>
      <c r="BF103" s="281"/>
      <c r="BG103" s="281"/>
      <c r="BH103" s="281"/>
      <c r="BI103" s="281"/>
      <c r="BJ103" s="281"/>
      <c r="BK103" s="281"/>
      <c r="BL103" s="281"/>
      <c r="BM103" s="281"/>
      <c r="BN103" s="281"/>
      <c r="BO103" s="281"/>
      <c r="BP103" s="281"/>
      <c r="BQ103" s="281"/>
      <c r="BR103" s="281"/>
      <c r="BS103" s="281"/>
      <c r="BT103" s="281"/>
      <c r="BU103" s="281"/>
      <c r="BV103" s="281"/>
      <c r="BW103" s="281"/>
      <c r="BX103" s="281"/>
      <c r="BY103" s="281"/>
      <c r="BZ103" s="281"/>
      <c r="CA103" s="281"/>
      <c r="CB103" s="281"/>
      <c r="CC103" s="281"/>
      <c r="CD103" s="281"/>
      <c r="CE103" s="281"/>
      <c r="CF103" s="281"/>
      <c r="CG103" s="281"/>
      <c r="CH103" s="281"/>
      <c r="CI103" s="281"/>
      <c r="CJ103" s="281"/>
      <c r="CK103" s="281"/>
      <c r="CL103" s="281"/>
      <c r="CM103" s="281"/>
      <c r="CN103" s="281"/>
      <c r="CO103" s="281"/>
      <c r="CP103" s="281"/>
      <c r="CQ103" s="281"/>
      <c r="CR103" s="281"/>
      <c r="CS103" s="281"/>
      <c r="CT103" s="281"/>
      <c r="CU103" s="281"/>
      <c r="CV103" s="281"/>
      <c r="CW103" s="281"/>
      <c r="CX103" s="281"/>
      <c r="CY103" s="281"/>
      <c r="CZ103" s="281"/>
      <c r="DA103" s="281"/>
      <c r="DB103" s="281"/>
      <c r="DC103" s="281">
        <v>130063.45856301185</v>
      </c>
      <c r="DD103" s="281"/>
      <c r="DE103" s="281"/>
      <c r="DF103" s="281"/>
      <c r="DG103" s="281"/>
      <c r="DH103" s="281"/>
      <c r="DI103" s="281"/>
      <c r="DJ103" s="281"/>
      <c r="DK103" s="281"/>
      <c r="DL103" s="281">
        <v>19.293437269360908</v>
      </c>
      <c r="DM103" s="281">
        <v>21.714083911640824</v>
      </c>
      <c r="DN103" s="281">
        <v>17.820414481855824</v>
      </c>
      <c r="DO103" s="281">
        <v>32.221302995337481</v>
      </c>
      <c r="DP103" s="281">
        <v>36.673036019896735</v>
      </c>
      <c r="DQ103" s="281">
        <v>39.995716697487616</v>
      </c>
      <c r="DR103" s="281">
        <v>86.245360466850357</v>
      </c>
      <c r="DS103" s="281">
        <v>62.193634825608662</v>
      </c>
      <c r="DT103" s="281">
        <v>162.21372654705226</v>
      </c>
      <c r="DU103" s="281">
        <v>11.192028291271949</v>
      </c>
      <c r="DV103" s="281">
        <v>34.508177993916391</v>
      </c>
      <c r="DW103" s="281">
        <v>141.32800451862735</v>
      </c>
      <c r="DX103" s="281">
        <v>56.01088328341752</v>
      </c>
      <c r="DY103" s="281">
        <v>34.555308746165139</v>
      </c>
      <c r="DZ103" s="281"/>
      <c r="EA103" s="281"/>
      <c r="EB103" s="281"/>
      <c r="EC103" s="281"/>
      <c r="ED103" s="281"/>
      <c r="EE103" s="281"/>
      <c r="EF103" s="281"/>
      <c r="EG103" s="281"/>
      <c r="EH103" s="281"/>
      <c r="EI103" s="281"/>
      <c r="EJ103" s="281">
        <v>258.61618985614479</v>
      </c>
      <c r="EK103" s="281">
        <v>17289.694908225585</v>
      </c>
      <c r="EL103" s="281">
        <v>401685.79557239852</v>
      </c>
    </row>
    <row r="104" spans="1:142" x14ac:dyDescent="0.25">
      <c r="A104" s="279" t="s">
        <v>1557</v>
      </c>
      <c r="B104" s="281"/>
      <c r="C104" s="281"/>
      <c r="D104" s="281"/>
      <c r="E104" s="281">
        <v>50.793673242381296</v>
      </c>
      <c r="F104" s="281"/>
      <c r="G104" s="281">
        <v>64.334330577167094</v>
      </c>
      <c r="H104" s="281">
        <v>12.067333945691013</v>
      </c>
      <c r="I104" s="281">
        <v>0.79632492401833821</v>
      </c>
      <c r="J104" s="281">
        <v>0.9551515258703025</v>
      </c>
      <c r="K104" s="281">
        <v>3.511643271531345E-4</v>
      </c>
      <c r="L104" s="281">
        <v>135.07609683802943</v>
      </c>
      <c r="M104" s="281">
        <v>62.171760026213832</v>
      </c>
      <c r="N104" s="281">
        <v>30.232889841322429</v>
      </c>
      <c r="O104" s="281">
        <v>27.899772180376473</v>
      </c>
      <c r="P104" s="281">
        <v>3.0429747608033373</v>
      </c>
      <c r="Q104" s="281">
        <v>8.9724526632048658</v>
      </c>
      <c r="R104" s="281">
        <v>31.464136447361469</v>
      </c>
      <c r="S104" s="281">
        <v>32.419775645297449</v>
      </c>
      <c r="T104" s="281">
        <v>84.676091315592075</v>
      </c>
      <c r="U104" s="281">
        <v>10.67147624718182</v>
      </c>
      <c r="V104" s="281">
        <v>42.068741796502401</v>
      </c>
      <c r="W104" s="281">
        <v>122.91218464514446</v>
      </c>
      <c r="X104" s="281">
        <v>12.287219976910473</v>
      </c>
      <c r="Y104" s="281">
        <v>30.910594768550446</v>
      </c>
      <c r="Z104" s="281">
        <v>8.8696572153247075</v>
      </c>
      <c r="AA104" s="281">
        <v>25.599647157392926</v>
      </c>
      <c r="AB104" s="281">
        <v>103.44406188737324</v>
      </c>
      <c r="AC104" s="281">
        <v>15.025848639807487</v>
      </c>
      <c r="AD104" s="281">
        <v>59.196722695837515</v>
      </c>
      <c r="AE104" s="281">
        <v>83.887410072079518</v>
      </c>
      <c r="AF104" s="281">
        <v>32.512978022861844</v>
      </c>
      <c r="AG104" s="281">
        <v>33.042174797890858</v>
      </c>
      <c r="AH104" s="281">
        <v>103.44559286596754</v>
      </c>
      <c r="AI104" s="281">
        <v>17.911767618963779</v>
      </c>
      <c r="AJ104" s="281">
        <v>10.412006201096714</v>
      </c>
      <c r="AK104" s="281">
        <v>12.648867982919164</v>
      </c>
      <c r="AL104" s="478">
        <v>1.6019125572777375</v>
      </c>
      <c r="AM104" s="281">
        <v>48.475806090994432</v>
      </c>
      <c r="AN104" s="281">
        <v>108.5616980492992</v>
      </c>
      <c r="AO104" s="281">
        <v>1155.2000161925541</v>
      </c>
      <c r="AP104" s="281">
        <v>299.9615860903786</v>
      </c>
      <c r="AQ104" s="281">
        <v>8.2842621592903516</v>
      </c>
      <c r="AR104" s="281">
        <v>143.27657282509438</v>
      </c>
      <c r="AS104" s="281">
        <v>210.791550579953</v>
      </c>
      <c r="AT104" s="281"/>
      <c r="AU104" s="281">
        <v>1573.8100372137289</v>
      </c>
      <c r="AV104" s="281">
        <v>1015.5583994196818</v>
      </c>
      <c r="AW104" s="281">
        <v>56.010431695709258</v>
      </c>
      <c r="AX104" s="281">
        <v>1651.3689025485478</v>
      </c>
      <c r="AY104" s="281">
        <v>820.34189476222411</v>
      </c>
      <c r="AZ104" s="281">
        <v>317.56959256781056</v>
      </c>
      <c r="BA104" s="281"/>
      <c r="BB104" s="281"/>
      <c r="BC104" s="281"/>
      <c r="BD104" s="281"/>
      <c r="BE104" s="281"/>
      <c r="BF104" s="281"/>
      <c r="BG104" s="281"/>
      <c r="BH104" s="281"/>
      <c r="BI104" s="281"/>
      <c r="BJ104" s="281"/>
      <c r="BK104" s="281"/>
      <c r="BL104" s="281"/>
      <c r="BM104" s="281"/>
      <c r="BN104" s="281"/>
      <c r="BO104" s="281"/>
      <c r="BP104" s="281"/>
      <c r="BQ104" s="281"/>
      <c r="BR104" s="281"/>
      <c r="BS104" s="281"/>
      <c r="BT104" s="281"/>
      <c r="BU104" s="281"/>
      <c r="BV104" s="281"/>
      <c r="BW104" s="281"/>
      <c r="BX104" s="281"/>
      <c r="BY104" s="281"/>
      <c r="BZ104" s="281"/>
      <c r="CA104" s="281"/>
      <c r="CB104" s="281"/>
      <c r="CC104" s="281"/>
      <c r="CD104" s="281"/>
      <c r="CE104" s="281"/>
      <c r="CF104" s="281"/>
      <c r="CG104" s="281"/>
      <c r="CH104" s="281"/>
      <c r="CI104" s="281"/>
      <c r="CJ104" s="281"/>
      <c r="CK104" s="281"/>
      <c r="CL104" s="281"/>
      <c r="CM104" s="281"/>
      <c r="CN104" s="281"/>
      <c r="CO104" s="281"/>
      <c r="CP104" s="281"/>
      <c r="CQ104" s="281"/>
      <c r="CR104" s="281"/>
      <c r="CS104" s="281"/>
      <c r="CT104" s="281"/>
      <c r="CU104" s="281"/>
      <c r="CV104" s="281"/>
      <c r="CW104" s="281"/>
      <c r="CX104" s="281"/>
      <c r="CY104" s="281"/>
      <c r="CZ104" s="281"/>
      <c r="DA104" s="281"/>
      <c r="DB104" s="281"/>
      <c r="DC104" s="281"/>
      <c r="DD104" s="281"/>
      <c r="DE104" s="281"/>
      <c r="DF104" s="281"/>
      <c r="DG104" s="281"/>
      <c r="DH104" s="281"/>
      <c r="DI104" s="281"/>
      <c r="DJ104" s="281"/>
      <c r="DK104" s="281"/>
      <c r="DL104" s="281">
        <v>483.05966207750146</v>
      </c>
      <c r="DM104" s="281">
        <v>754.40073472423376</v>
      </c>
      <c r="DN104" s="281">
        <v>969.94380178830079</v>
      </c>
      <c r="DO104" s="281">
        <v>1233.9840589417829</v>
      </c>
      <c r="DP104" s="281">
        <v>1422.5842426228412</v>
      </c>
      <c r="DQ104" s="281">
        <v>1735.1216898657383</v>
      </c>
      <c r="DR104" s="281">
        <v>2058.4362904618388</v>
      </c>
      <c r="DS104" s="281">
        <v>2053.0477137852363</v>
      </c>
      <c r="DT104" s="281">
        <v>1692.0130764529247</v>
      </c>
      <c r="DU104" s="281">
        <v>291.52199820415035</v>
      </c>
      <c r="DV104" s="281">
        <v>273.20083750370475</v>
      </c>
      <c r="DW104" s="281">
        <v>331.93632327866294</v>
      </c>
      <c r="DX104" s="281">
        <v>392.28838205660173</v>
      </c>
      <c r="DY104" s="281">
        <v>652.01777786880211</v>
      </c>
      <c r="DZ104" s="281"/>
      <c r="EA104" s="281"/>
      <c r="EB104" s="281"/>
      <c r="EC104" s="281"/>
      <c r="ED104" s="281"/>
      <c r="EE104" s="281"/>
      <c r="EF104" s="281"/>
      <c r="EG104" s="281"/>
      <c r="EH104" s="281"/>
      <c r="EI104" s="281"/>
      <c r="EJ104" s="281">
        <v>22.405293309862216</v>
      </c>
      <c r="EK104" s="281">
        <v>3618.6350488286084</v>
      </c>
      <c r="EL104" s="281">
        <v>26665.159662212791</v>
      </c>
    </row>
    <row r="105" spans="1:142" x14ac:dyDescent="0.25">
      <c r="A105" s="279" t="s">
        <v>1556</v>
      </c>
      <c r="B105" s="281">
        <v>483.94130360353796</v>
      </c>
      <c r="C105" s="281">
        <v>51.282701151755099</v>
      </c>
      <c r="D105" s="281">
        <v>5.4603726090127598</v>
      </c>
      <c r="E105" s="281">
        <v>61.962546812307387</v>
      </c>
      <c r="F105" s="281">
        <v>16.767464032335916</v>
      </c>
      <c r="G105" s="281">
        <v>52.607658129915407</v>
      </c>
      <c r="H105" s="281">
        <v>19.739134328898576</v>
      </c>
      <c r="I105" s="281">
        <v>1.3025880211312759</v>
      </c>
      <c r="J105" s="281">
        <v>1.562388540704855</v>
      </c>
      <c r="K105" s="281">
        <v>3.5733260155269252E-3</v>
      </c>
      <c r="L105" s="281">
        <v>117.00112483367114</v>
      </c>
      <c r="M105" s="281">
        <v>16.031663076204776</v>
      </c>
      <c r="N105" s="281">
        <v>6.5613283648045631</v>
      </c>
      <c r="O105" s="281">
        <v>3.4568401453384925</v>
      </c>
      <c r="P105" s="281">
        <v>0.58423489473303492</v>
      </c>
      <c r="Q105" s="281">
        <v>2.3112265138093209</v>
      </c>
      <c r="R105" s="281">
        <v>24.948240898008375</v>
      </c>
      <c r="S105" s="281">
        <v>32.031368617352555</v>
      </c>
      <c r="T105" s="281">
        <v>9.3994108541955708</v>
      </c>
      <c r="U105" s="281">
        <v>32.095995041142977</v>
      </c>
      <c r="V105" s="281">
        <v>428.07687990578154</v>
      </c>
      <c r="W105" s="281">
        <v>184.4582028794679</v>
      </c>
      <c r="X105" s="281">
        <v>12.329363850460943</v>
      </c>
      <c r="Y105" s="281">
        <v>9.9908790407280108</v>
      </c>
      <c r="Z105" s="281">
        <v>2.14944115161786</v>
      </c>
      <c r="AA105" s="281">
        <v>57.349853354956906</v>
      </c>
      <c r="AB105" s="281">
        <v>400.85111123595618</v>
      </c>
      <c r="AC105" s="281">
        <v>2.3426089134729611</v>
      </c>
      <c r="AD105" s="281">
        <v>8.8365932293808704</v>
      </c>
      <c r="AE105" s="281">
        <v>8.2047246012877526</v>
      </c>
      <c r="AF105" s="281">
        <v>25.96170323759063</v>
      </c>
      <c r="AG105" s="281">
        <v>0.98178504645951814</v>
      </c>
      <c r="AH105" s="281">
        <v>18.060150160268435</v>
      </c>
      <c r="AI105" s="281">
        <v>0.36709443016595417</v>
      </c>
      <c r="AJ105" s="281">
        <v>12.71098912894062</v>
      </c>
      <c r="AK105" s="281">
        <v>6.9294595092200737</v>
      </c>
      <c r="AL105" s="478">
        <v>21.950805189764914</v>
      </c>
      <c r="AM105" s="281">
        <v>3.7151802972097805</v>
      </c>
      <c r="AN105" s="281">
        <v>190.30831428497939</v>
      </c>
      <c r="AO105" s="281">
        <v>621.65097156870502</v>
      </c>
      <c r="AP105" s="281">
        <v>6.4982155845969185</v>
      </c>
      <c r="AQ105" s="281">
        <v>2.5265458329741679E-2</v>
      </c>
      <c r="AR105" s="281">
        <v>1.3557755476862257</v>
      </c>
      <c r="AS105" s="281">
        <v>235.43385917228886</v>
      </c>
      <c r="AT105" s="281"/>
      <c r="AU105" s="281">
        <v>47.969191362257789</v>
      </c>
      <c r="AV105" s="281">
        <v>939.22463463293468</v>
      </c>
      <c r="AW105" s="281">
        <v>24.469460103255425</v>
      </c>
      <c r="AX105" s="281">
        <v>654.06310761568659</v>
      </c>
      <c r="AY105" s="281">
        <v>287.15811164492351</v>
      </c>
      <c r="AZ105" s="281">
        <v>279.95696216689788</v>
      </c>
      <c r="BA105" s="281"/>
      <c r="BB105" s="281"/>
      <c r="BC105" s="281"/>
      <c r="BD105" s="281"/>
      <c r="BE105" s="281"/>
      <c r="BF105" s="281"/>
      <c r="BG105" s="281"/>
      <c r="BH105" s="281"/>
      <c r="BI105" s="281"/>
      <c r="BJ105" s="281"/>
      <c r="BK105" s="281"/>
      <c r="BL105" s="281"/>
      <c r="BM105" s="281"/>
      <c r="BN105" s="281"/>
      <c r="BO105" s="281"/>
      <c r="BP105" s="281"/>
      <c r="BQ105" s="281"/>
      <c r="BR105" s="281"/>
      <c r="BS105" s="281"/>
      <c r="BT105" s="281"/>
      <c r="BU105" s="281"/>
      <c r="BV105" s="281"/>
      <c r="BW105" s="281"/>
      <c r="BX105" s="281"/>
      <c r="BY105" s="281"/>
      <c r="BZ105" s="281"/>
      <c r="CA105" s="281"/>
      <c r="CB105" s="281"/>
      <c r="CC105" s="281"/>
      <c r="CD105" s="281"/>
      <c r="CE105" s="281"/>
      <c r="CF105" s="281"/>
      <c r="CG105" s="281"/>
      <c r="CH105" s="281"/>
      <c r="CI105" s="281"/>
      <c r="CJ105" s="281"/>
      <c r="CK105" s="281"/>
      <c r="CL105" s="281"/>
      <c r="CM105" s="281"/>
      <c r="CN105" s="281"/>
      <c r="CO105" s="281"/>
      <c r="CP105" s="281"/>
      <c r="CQ105" s="281"/>
      <c r="CR105" s="281"/>
      <c r="CS105" s="281"/>
      <c r="CT105" s="281"/>
      <c r="CU105" s="281"/>
      <c r="CV105" s="281"/>
      <c r="CW105" s="281"/>
      <c r="CX105" s="281"/>
      <c r="CY105" s="281"/>
      <c r="CZ105" s="281"/>
      <c r="DA105" s="281"/>
      <c r="DB105" s="281"/>
      <c r="DC105" s="281">
        <v>2936.0462744548072</v>
      </c>
      <c r="DD105" s="281"/>
      <c r="DE105" s="281"/>
      <c r="DF105" s="281"/>
      <c r="DG105" s="281"/>
      <c r="DH105" s="281"/>
      <c r="DI105" s="281"/>
      <c r="DJ105" s="281"/>
      <c r="DK105" s="281"/>
      <c r="DL105" s="281">
        <v>0.42113847365602131</v>
      </c>
      <c r="DM105" s="281">
        <v>0.4739765147970495</v>
      </c>
      <c r="DN105" s="281">
        <v>0.38898523109329897</v>
      </c>
      <c r="DO105" s="281">
        <v>0.70332881451943108</v>
      </c>
      <c r="DP105" s="281">
        <v>0.80050154869387857</v>
      </c>
      <c r="DQ105" s="281">
        <v>0.87302925070316029</v>
      </c>
      <c r="DR105" s="281">
        <v>1.8825696510078558</v>
      </c>
      <c r="DS105" s="281">
        <v>1.3575669320039423</v>
      </c>
      <c r="DT105" s="281">
        <v>3.5408123627907453</v>
      </c>
      <c r="DU105" s="281">
        <v>0.2443003621333156</v>
      </c>
      <c r="DV105" s="281">
        <v>0.75324687903523835</v>
      </c>
      <c r="DW105" s="281">
        <v>3.0849173880667222</v>
      </c>
      <c r="DX105" s="281">
        <v>1.2226094067521944</v>
      </c>
      <c r="DY105" s="281">
        <v>0.75427565233193949</v>
      </c>
      <c r="DZ105" s="281"/>
      <c r="EA105" s="281"/>
      <c r="EB105" s="281"/>
      <c r="EC105" s="281"/>
      <c r="ED105" s="281"/>
      <c r="EE105" s="281"/>
      <c r="EF105" s="281"/>
      <c r="EG105" s="281"/>
      <c r="EH105" s="281"/>
      <c r="EI105" s="281"/>
      <c r="EJ105" s="281">
        <v>5.6450919521589427</v>
      </c>
      <c r="EK105" s="281">
        <v>377.40064779393254</v>
      </c>
      <c r="EL105" s="281">
        <v>8768.025130768634</v>
      </c>
    </row>
    <row r="106" spans="1:142" x14ac:dyDescent="0.25">
      <c r="A106" s="279" t="s">
        <v>1555</v>
      </c>
      <c r="B106" s="281"/>
      <c r="C106" s="281"/>
      <c r="D106" s="281"/>
      <c r="E106" s="281">
        <v>15693.915711841244</v>
      </c>
      <c r="F106" s="281">
        <v>4250.4623080367328</v>
      </c>
      <c r="G106" s="281">
        <v>13355.577002331815</v>
      </c>
      <c r="H106" s="281">
        <v>4994.5665521202127</v>
      </c>
      <c r="I106" s="281">
        <v>329.5920911794995</v>
      </c>
      <c r="J106" s="281">
        <v>395.32906645231816</v>
      </c>
      <c r="K106" s="281">
        <v>3.2563323754976671E-3</v>
      </c>
      <c r="L106" s="281">
        <v>1140.4122254604338</v>
      </c>
      <c r="M106" s="281">
        <v>431.38217339392236</v>
      </c>
      <c r="N106" s="281">
        <v>134.89637545478246</v>
      </c>
      <c r="O106" s="281">
        <v>118.55275353080012</v>
      </c>
      <c r="P106" s="281">
        <v>20.017217748348944</v>
      </c>
      <c r="Q106" s="281">
        <v>44.739678415627203</v>
      </c>
      <c r="R106" s="281">
        <v>186.74891041162539</v>
      </c>
      <c r="S106" s="281">
        <v>409.15638878960834</v>
      </c>
      <c r="T106" s="281">
        <v>228.12900295063625</v>
      </c>
      <c r="U106" s="281">
        <v>474.94751763364036</v>
      </c>
      <c r="V106" s="281">
        <v>390.10171397240083</v>
      </c>
      <c r="W106" s="281">
        <v>608.8813863603682</v>
      </c>
      <c r="X106" s="281">
        <v>75.858904343262921</v>
      </c>
      <c r="Y106" s="281">
        <v>114.47325216355597</v>
      </c>
      <c r="Z106" s="281">
        <v>37.678617041888231</v>
      </c>
      <c r="AA106" s="281">
        <v>176.45315947542488</v>
      </c>
      <c r="AB106" s="281">
        <v>803.4328477226029</v>
      </c>
      <c r="AC106" s="281">
        <v>193.98936923304552</v>
      </c>
      <c r="AD106" s="281">
        <v>379.69749975550059</v>
      </c>
      <c r="AE106" s="281">
        <v>351.05654260126664</v>
      </c>
      <c r="AF106" s="281">
        <v>227.75119043025217</v>
      </c>
      <c r="AG106" s="281">
        <v>88.497143762957847</v>
      </c>
      <c r="AH106" s="281">
        <v>1077.7120150388387</v>
      </c>
      <c r="AI106" s="281">
        <v>56.732085780365338</v>
      </c>
      <c r="AJ106" s="281">
        <v>104.29006673275107</v>
      </c>
      <c r="AK106" s="281">
        <v>123.56248992494142</v>
      </c>
      <c r="AL106" s="478"/>
      <c r="AM106" s="281"/>
      <c r="AN106" s="281">
        <v>1810.029286767751</v>
      </c>
      <c r="AO106" s="281">
        <v>1803.8055133506982</v>
      </c>
      <c r="AP106" s="281"/>
      <c r="AQ106" s="281">
        <v>1.2931311095864433</v>
      </c>
      <c r="AR106" s="281">
        <v>16.925711556248263</v>
      </c>
      <c r="AS106" s="281">
        <v>194.89519388164777</v>
      </c>
      <c r="AT106" s="281">
        <v>261.31422966171021</v>
      </c>
      <c r="AU106" s="281">
        <v>817.57270955478668</v>
      </c>
      <c r="AV106" s="281"/>
      <c r="AW106" s="281"/>
      <c r="AX106" s="281">
        <v>5614.6672930084969</v>
      </c>
      <c r="AY106" s="281"/>
      <c r="AZ106" s="281">
        <v>6.6010853307355379</v>
      </c>
      <c r="BA106" s="281"/>
      <c r="BB106" s="281"/>
      <c r="BC106" s="281"/>
      <c r="BD106" s="281"/>
      <c r="BE106" s="281"/>
      <c r="BF106" s="281"/>
      <c r="BG106" s="281"/>
      <c r="BH106" s="281"/>
      <c r="BI106" s="281"/>
      <c r="BJ106" s="281"/>
      <c r="BK106" s="281"/>
      <c r="BL106" s="281"/>
      <c r="BM106" s="281"/>
      <c r="BN106" s="281"/>
      <c r="BO106" s="281"/>
      <c r="BP106" s="281"/>
      <c r="BQ106" s="281"/>
      <c r="BR106" s="281"/>
      <c r="BS106" s="281"/>
      <c r="BT106" s="281"/>
      <c r="BU106" s="281"/>
      <c r="BV106" s="281"/>
      <c r="BW106" s="281"/>
      <c r="BX106" s="281"/>
      <c r="BY106" s="281"/>
      <c r="BZ106" s="281"/>
      <c r="CA106" s="281"/>
      <c r="CB106" s="281"/>
      <c r="CC106" s="281"/>
      <c r="CD106" s="281"/>
      <c r="CE106" s="281"/>
      <c r="CF106" s="281"/>
      <c r="CG106" s="281"/>
      <c r="CH106" s="281"/>
      <c r="CI106" s="281"/>
      <c r="CJ106" s="281"/>
      <c r="CK106" s="281"/>
      <c r="CL106" s="281"/>
      <c r="CM106" s="281"/>
      <c r="CN106" s="281"/>
      <c r="CO106" s="281"/>
      <c r="CP106" s="281"/>
      <c r="CQ106" s="281"/>
      <c r="CR106" s="281"/>
      <c r="CS106" s="281"/>
      <c r="CT106" s="281"/>
      <c r="CU106" s="281"/>
      <c r="CV106" s="281"/>
      <c r="CW106" s="281"/>
      <c r="CX106" s="281"/>
      <c r="CY106" s="281"/>
      <c r="CZ106" s="281"/>
      <c r="DA106" s="281"/>
      <c r="DB106" s="281"/>
      <c r="DC106" s="281"/>
      <c r="DD106" s="281"/>
      <c r="DE106" s="281"/>
      <c r="DF106" s="281"/>
      <c r="DG106" s="281"/>
      <c r="DH106" s="281"/>
      <c r="DI106" s="281"/>
      <c r="DJ106" s="281"/>
      <c r="DK106" s="281"/>
      <c r="DL106" s="281">
        <v>15.261674576190808</v>
      </c>
      <c r="DM106" s="281">
        <v>34.408648721210739</v>
      </c>
      <c r="DN106" s="281">
        <v>51.437096701178618</v>
      </c>
      <c r="DO106" s="281">
        <v>79.418588181830799</v>
      </c>
      <c r="DP106" s="281">
        <v>92.655380832550875</v>
      </c>
      <c r="DQ106" s="281">
        <v>137.19762593414777</v>
      </c>
      <c r="DR106" s="281">
        <v>257.24554862652707</v>
      </c>
      <c r="DS106" s="281">
        <v>323.10040907491805</v>
      </c>
      <c r="DT106" s="281">
        <v>720.2875361542757</v>
      </c>
      <c r="DU106" s="281">
        <v>172.86900867702619</v>
      </c>
      <c r="DV106" s="281">
        <v>183.15883062208724</v>
      </c>
      <c r="DW106" s="281">
        <v>190.70470004846541</v>
      </c>
      <c r="DX106" s="281">
        <v>322.41442094524723</v>
      </c>
      <c r="DY106" s="281">
        <v>410.90688967277254</v>
      </c>
      <c r="DZ106" s="281"/>
      <c r="EA106" s="281"/>
      <c r="EB106" s="281"/>
      <c r="EC106" s="281"/>
      <c r="ED106" s="281"/>
      <c r="EE106" s="281"/>
      <c r="EF106" s="281"/>
      <c r="EG106" s="281"/>
      <c r="EH106" s="281"/>
      <c r="EI106" s="281"/>
      <c r="EJ106" s="281">
        <v>140.67138016529691</v>
      </c>
      <c r="EK106" s="281">
        <v>930.49117774012643</v>
      </c>
      <c r="EL106" s="281">
        <v>61607.929587318547</v>
      </c>
    </row>
    <row r="107" spans="1:142" x14ac:dyDescent="0.25">
      <c r="A107" s="279" t="s">
        <v>1554</v>
      </c>
      <c r="B107" s="281"/>
      <c r="C107" s="281"/>
      <c r="D107" s="281"/>
      <c r="E107" s="281">
        <v>80.484006902727657</v>
      </c>
      <c r="F107" s="281">
        <v>14.213756080223684</v>
      </c>
      <c r="G107" s="281">
        <v>36.962999946880657</v>
      </c>
      <c r="H107" s="281">
        <v>83.469629949201789</v>
      </c>
      <c r="I107" s="281">
        <v>5.5081716497015956</v>
      </c>
      <c r="J107" s="281">
        <v>6.60677368908632</v>
      </c>
      <c r="K107" s="281">
        <v>6.6445720529244095E-4</v>
      </c>
      <c r="L107" s="281">
        <v>333.68109563146515</v>
      </c>
      <c r="M107" s="281">
        <v>106.51588862344384</v>
      </c>
      <c r="N107" s="281">
        <v>54.252860599714076</v>
      </c>
      <c r="O107" s="281">
        <v>30.717669844133518</v>
      </c>
      <c r="P107" s="281">
        <v>2.5660553637304928</v>
      </c>
      <c r="Q107" s="281">
        <v>31.038918524606792</v>
      </c>
      <c r="R107" s="281">
        <v>74.519913772721395</v>
      </c>
      <c r="S107" s="281">
        <v>56.444575149751316</v>
      </c>
      <c r="T107" s="281">
        <v>512.7475819402091</v>
      </c>
      <c r="U107" s="281">
        <v>26.464101780163464</v>
      </c>
      <c r="V107" s="281">
        <v>79.60056430243182</v>
      </c>
      <c r="W107" s="281">
        <v>197.63176833150158</v>
      </c>
      <c r="X107" s="281">
        <v>12.909321254910001</v>
      </c>
      <c r="Y107" s="281">
        <v>32.008144683412105</v>
      </c>
      <c r="Z107" s="281">
        <v>31.880519644292782</v>
      </c>
      <c r="AA107" s="281">
        <v>52.151407845498362</v>
      </c>
      <c r="AB107" s="281">
        <v>46.160676284141481</v>
      </c>
      <c r="AC107" s="281">
        <v>12.881994280937104</v>
      </c>
      <c r="AD107" s="281">
        <v>62.910971961829752</v>
      </c>
      <c r="AE107" s="281">
        <v>106.09332231000194</v>
      </c>
      <c r="AF107" s="281">
        <v>77.088607504058203</v>
      </c>
      <c r="AG107" s="281">
        <v>10569.09070536055</v>
      </c>
      <c r="AH107" s="281">
        <v>254.81252595351</v>
      </c>
      <c r="AI107" s="281">
        <v>18.851074856602963</v>
      </c>
      <c r="AJ107" s="281">
        <v>16.865487808367163</v>
      </c>
      <c r="AK107" s="281">
        <v>34.968145928482713</v>
      </c>
      <c r="AL107" s="478">
        <v>161.71539311223938</v>
      </c>
      <c r="AM107" s="281">
        <v>8.3128896773625822</v>
      </c>
      <c r="AN107" s="281">
        <v>200.95496301682405</v>
      </c>
      <c r="AO107" s="281">
        <v>3449.4854893432371</v>
      </c>
      <c r="AP107" s="281">
        <v>124.19022049900809</v>
      </c>
      <c r="AQ107" s="281">
        <v>0.17512879984643728</v>
      </c>
      <c r="AR107" s="281">
        <v>10.913504023679661</v>
      </c>
      <c r="AS107" s="281">
        <v>152.99679244615223</v>
      </c>
      <c r="AT107" s="281">
        <v>75.588814007644558</v>
      </c>
      <c r="AU107" s="281">
        <v>236.49439818209066</v>
      </c>
      <c r="AV107" s="281">
        <v>233.74309532488093</v>
      </c>
      <c r="AW107" s="281">
        <v>220.07739636281519</v>
      </c>
      <c r="AX107" s="281">
        <v>152450.25533267407</v>
      </c>
      <c r="AY107" s="281"/>
      <c r="AZ107" s="281">
        <v>1471.9451876888725</v>
      </c>
      <c r="BA107" s="281"/>
      <c r="BB107" s="281"/>
      <c r="BC107" s="281"/>
      <c r="BD107" s="281"/>
      <c r="BE107" s="281"/>
      <c r="BF107" s="281"/>
      <c r="BG107" s="281"/>
      <c r="BH107" s="281"/>
      <c r="BI107" s="281"/>
      <c r="BJ107" s="281"/>
      <c r="BK107" s="281"/>
      <c r="BL107" s="281"/>
      <c r="BM107" s="281"/>
      <c r="BN107" s="281"/>
      <c r="BO107" s="281"/>
      <c r="BP107" s="281"/>
      <c r="BQ107" s="281"/>
      <c r="BR107" s="281"/>
      <c r="BS107" s="281"/>
      <c r="BT107" s="281"/>
      <c r="BU107" s="281"/>
      <c r="BV107" s="281"/>
      <c r="BW107" s="281"/>
      <c r="BX107" s="281"/>
      <c r="BY107" s="281"/>
      <c r="BZ107" s="281"/>
      <c r="CA107" s="281"/>
      <c r="CB107" s="281"/>
      <c r="CC107" s="281"/>
      <c r="CD107" s="281"/>
      <c r="CE107" s="281"/>
      <c r="CF107" s="281"/>
      <c r="CG107" s="281"/>
      <c r="CH107" s="281"/>
      <c r="CI107" s="281"/>
      <c r="CJ107" s="281"/>
      <c r="CK107" s="281"/>
      <c r="CL107" s="281"/>
      <c r="CM107" s="281"/>
      <c r="CN107" s="281"/>
      <c r="CO107" s="281"/>
      <c r="CP107" s="281"/>
      <c r="CQ107" s="281"/>
      <c r="CR107" s="281"/>
      <c r="CS107" s="281"/>
      <c r="CT107" s="281"/>
      <c r="CU107" s="281"/>
      <c r="CV107" s="281"/>
      <c r="CW107" s="281"/>
      <c r="CX107" s="281"/>
      <c r="CY107" s="281"/>
      <c r="CZ107" s="281"/>
      <c r="DA107" s="281"/>
      <c r="DB107" s="281"/>
      <c r="DC107" s="281"/>
      <c r="DD107" s="281"/>
      <c r="DE107" s="281"/>
      <c r="DF107" s="281"/>
      <c r="DG107" s="281"/>
      <c r="DH107" s="281"/>
      <c r="DI107" s="281"/>
      <c r="DJ107" s="281"/>
      <c r="DK107" s="281"/>
      <c r="DL107" s="281">
        <v>4.9357198606361559</v>
      </c>
      <c r="DM107" s="281">
        <v>10.053086061558266</v>
      </c>
      <c r="DN107" s="281">
        <v>12.843488769215744</v>
      </c>
      <c r="DO107" s="281">
        <v>21.236419711016016</v>
      </c>
      <c r="DP107" s="281">
        <v>16.416016721986892</v>
      </c>
      <c r="DQ107" s="281">
        <v>95.90507266508709</v>
      </c>
      <c r="DR107" s="281">
        <v>34.232001447108587</v>
      </c>
      <c r="DS107" s="281">
        <v>80.98853088936815</v>
      </c>
      <c r="DT107" s="281">
        <v>149.37386265187121</v>
      </c>
      <c r="DU107" s="281">
        <v>131.02129162053791</v>
      </c>
      <c r="DV107" s="281">
        <v>58.384749744819707</v>
      </c>
      <c r="DW107" s="281">
        <v>199.96765926191338</v>
      </c>
      <c r="DX107" s="281">
        <v>88.742849731892122</v>
      </c>
      <c r="DY107" s="281">
        <v>123.60867927287258</v>
      </c>
      <c r="DZ107" s="281"/>
      <c r="EA107" s="281"/>
      <c r="EB107" s="281"/>
      <c r="EC107" s="281"/>
      <c r="ED107" s="281"/>
      <c r="EE107" s="281"/>
      <c r="EF107" s="281"/>
      <c r="EG107" s="281"/>
      <c r="EH107" s="281"/>
      <c r="EI107" s="281"/>
      <c r="EJ107" s="281">
        <v>242.74443140025673</v>
      </c>
      <c r="EK107" s="281">
        <v>1686.059523045436</v>
      </c>
      <c r="EL107" s="281">
        <v>174815.46189022981</v>
      </c>
    </row>
    <row r="108" spans="1:142" x14ac:dyDescent="0.25">
      <c r="A108" s="279" t="s">
        <v>1553</v>
      </c>
      <c r="B108" s="281">
        <v>8516.1630777573864</v>
      </c>
      <c r="C108" s="281">
        <v>451.17838478462875</v>
      </c>
      <c r="D108" s="281">
        <v>541.08242925724653</v>
      </c>
      <c r="E108" s="281">
        <v>3306.4417692822258</v>
      </c>
      <c r="F108" s="281">
        <v>457.74786775753444</v>
      </c>
      <c r="G108" s="281">
        <v>7542.7804304930114</v>
      </c>
      <c r="H108" s="281">
        <v>5876.5105130757183</v>
      </c>
      <c r="I108" s="281">
        <v>387.79168695244209</v>
      </c>
      <c r="J108" s="281">
        <v>465.13654205794262</v>
      </c>
      <c r="K108" s="281">
        <v>3.3448133608784589E-3</v>
      </c>
      <c r="L108" s="281">
        <v>1887.3221851218689</v>
      </c>
      <c r="M108" s="281">
        <v>555.54754616165769</v>
      </c>
      <c r="N108" s="281">
        <v>445.46204634671273</v>
      </c>
      <c r="O108" s="281">
        <v>595.70944234643139</v>
      </c>
      <c r="P108" s="281">
        <v>117.57762635863575</v>
      </c>
      <c r="Q108" s="281">
        <v>155.94879788432712</v>
      </c>
      <c r="R108" s="281">
        <v>645.05316794687064</v>
      </c>
      <c r="S108" s="281">
        <v>361.62524475500152</v>
      </c>
      <c r="T108" s="281">
        <v>684.6088847875601</v>
      </c>
      <c r="U108" s="281">
        <v>209.34061709643134</v>
      </c>
      <c r="V108" s="281">
        <v>400.70154840906173</v>
      </c>
      <c r="W108" s="281">
        <v>1708.8500771249824</v>
      </c>
      <c r="X108" s="281">
        <v>191.56086375928078</v>
      </c>
      <c r="Y108" s="281">
        <v>480.45266081158331</v>
      </c>
      <c r="Z108" s="281">
        <v>102.24891632076537</v>
      </c>
      <c r="AA108" s="281">
        <v>450.16104411892553</v>
      </c>
      <c r="AB108" s="281">
        <v>694.04061065712949</v>
      </c>
      <c r="AC108" s="281">
        <v>322.72344598497074</v>
      </c>
      <c r="AD108" s="281">
        <v>1309.5309273642238</v>
      </c>
      <c r="AE108" s="281">
        <v>1486.6942377522523</v>
      </c>
      <c r="AF108" s="281">
        <v>493.6420952072246</v>
      </c>
      <c r="AG108" s="281">
        <v>674.66101456827732</v>
      </c>
      <c r="AH108" s="281">
        <v>811.38528210991853</v>
      </c>
      <c r="AI108" s="281">
        <v>130.27849399721853</v>
      </c>
      <c r="AJ108" s="281">
        <v>442.09530383233164</v>
      </c>
      <c r="AK108" s="281">
        <v>508.91280308808189</v>
      </c>
      <c r="AL108" s="478">
        <v>3447.0129206213246</v>
      </c>
      <c r="AM108" s="281">
        <v>1048.4653534556173</v>
      </c>
      <c r="AN108" s="281">
        <v>5160.2309552141469</v>
      </c>
      <c r="AO108" s="281">
        <v>30039.441309758538</v>
      </c>
      <c r="AP108" s="281">
        <v>1766.1476302496353</v>
      </c>
      <c r="AQ108" s="281">
        <v>57.821570162094524</v>
      </c>
      <c r="AR108" s="281">
        <v>756.51497247175894</v>
      </c>
      <c r="AS108" s="281">
        <v>3398.604955221926</v>
      </c>
      <c r="AT108" s="281">
        <v>1450.3815826995374</v>
      </c>
      <c r="AU108" s="281">
        <v>4537.8026370439648</v>
      </c>
      <c r="AV108" s="281">
        <v>2174.3525342341632</v>
      </c>
      <c r="AW108" s="281">
        <v>176416.01962076055</v>
      </c>
      <c r="AX108" s="281">
        <v>86895.833760481968</v>
      </c>
      <c r="AY108" s="281">
        <v>10575.072026760645</v>
      </c>
      <c r="AZ108" s="281">
        <v>21557.65596324591</v>
      </c>
      <c r="BA108" s="281"/>
      <c r="BB108" s="281"/>
      <c r="BC108" s="281"/>
      <c r="BD108" s="281"/>
      <c r="BE108" s="281"/>
      <c r="BF108" s="281"/>
      <c r="BG108" s="281"/>
      <c r="BH108" s="281"/>
      <c r="BI108" s="281"/>
      <c r="BJ108" s="281"/>
      <c r="BK108" s="281"/>
      <c r="BL108" s="281"/>
      <c r="BM108" s="281"/>
      <c r="BN108" s="281"/>
      <c r="BO108" s="281"/>
      <c r="BP108" s="281"/>
      <c r="BQ108" s="281"/>
      <c r="BR108" s="281"/>
      <c r="BS108" s="281"/>
      <c r="BT108" s="281"/>
      <c r="BU108" s="281"/>
      <c r="BV108" s="281"/>
      <c r="BW108" s="281"/>
      <c r="BX108" s="281"/>
      <c r="BY108" s="281"/>
      <c r="BZ108" s="281"/>
      <c r="CA108" s="281"/>
      <c r="CB108" s="281"/>
      <c r="CC108" s="281"/>
      <c r="CD108" s="281"/>
      <c r="CE108" s="281"/>
      <c r="CF108" s="281"/>
      <c r="CG108" s="281"/>
      <c r="CH108" s="281"/>
      <c r="CI108" s="281"/>
      <c r="CJ108" s="281"/>
      <c r="CK108" s="281"/>
      <c r="CL108" s="281"/>
      <c r="CM108" s="281"/>
      <c r="CN108" s="281"/>
      <c r="CO108" s="281"/>
      <c r="CP108" s="281"/>
      <c r="CQ108" s="281"/>
      <c r="CR108" s="281"/>
      <c r="CS108" s="281"/>
      <c r="CT108" s="281"/>
      <c r="CU108" s="281"/>
      <c r="CV108" s="281"/>
      <c r="CW108" s="281"/>
      <c r="CX108" s="281"/>
      <c r="CY108" s="281"/>
      <c r="CZ108" s="281"/>
      <c r="DA108" s="281"/>
      <c r="DB108" s="281"/>
      <c r="DC108" s="281"/>
      <c r="DD108" s="281"/>
      <c r="DE108" s="281"/>
      <c r="DF108" s="281"/>
      <c r="DG108" s="281"/>
      <c r="DH108" s="281"/>
      <c r="DI108" s="281"/>
      <c r="DJ108" s="281"/>
      <c r="DK108" s="281"/>
      <c r="DL108" s="281">
        <v>612.34735203862476</v>
      </c>
      <c r="DM108" s="281">
        <v>1049.032695437023</v>
      </c>
      <c r="DN108" s="281">
        <v>1384.9258965938279</v>
      </c>
      <c r="DO108" s="281">
        <v>1816.9655965853685</v>
      </c>
      <c r="DP108" s="281">
        <v>2197.4034100511171</v>
      </c>
      <c r="DQ108" s="281">
        <v>3464.7098124752611</v>
      </c>
      <c r="DR108" s="281">
        <v>6125.7365968894355</v>
      </c>
      <c r="DS108" s="281">
        <v>12885.381630593169</v>
      </c>
      <c r="DT108" s="281">
        <v>33839.942440733583</v>
      </c>
      <c r="DU108" s="281">
        <v>9646.2134160137866</v>
      </c>
      <c r="DV108" s="281">
        <v>12779.337111122046</v>
      </c>
      <c r="DW108" s="281">
        <v>14212.46544493382</v>
      </c>
      <c r="DX108" s="281">
        <v>19500.278156364602</v>
      </c>
      <c r="DY108" s="281">
        <v>23143.864014228435</v>
      </c>
      <c r="DZ108" s="281"/>
      <c r="EA108" s="281"/>
      <c r="EB108" s="281"/>
      <c r="EC108" s="281"/>
      <c r="ED108" s="281"/>
      <c r="EE108" s="281"/>
      <c r="EF108" s="281"/>
      <c r="EG108" s="281"/>
      <c r="EH108" s="281"/>
      <c r="EI108" s="281"/>
      <c r="EJ108" s="281">
        <v>907.95667330703304</v>
      </c>
      <c r="EK108" s="281">
        <v>26621.23874820942</v>
      </c>
      <c r="EL108" s="281">
        <v>562880.12771810149</v>
      </c>
    </row>
    <row r="109" spans="1:142" x14ac:dyDescent="0.25">
      <c r="A109" s="279" t="s">
        <v>1552</v>
      </c>
      <c r="B109" s="281">
        <v>607.91119116122172</v>
      </c>
      <c r="C109" s="281">
        <v>61.114319602298721</v>
      </c>
      <c r="D109" s="281">
        <v>4.642632373956336</v>
      </c>
      <c r="E109" s="281">
        <v>1350.2208838619144</v>
      </c>
      <c r="F109" s="281">
        <v>6381.7367639630102</v>
      </c>
      <c r="G109" s="281">
        <v>5205.9280560968327</v>
      </c>
      <c r="H109" s="281">
        <v>872.59500836361781</v>
      </c>
      <c r="I109" s="281">
        <v>57.582657185190612</v>
      </c>
      <c r="J109" s="281">
        <v>69.06748892972584</v>
      </c>
      <c r="K109" s="281">
        <v>2.8817453421183688E-2</v>
      </c>
      <c r="L109" s="281">
        <v>15218.628475655545</v>
      </c>
      <c r="M109" s="281">
        <v>3640.3039132721924</v>
      </c>
      <c r="N109" s="281">
        <v>1235.1331351304134</v>
      </c>
      <c r="O109" s="281">
        <v>1099.9382234054876</v>
      </c>
      <c r="P109" s="281">
        <v>139.13687550658179</v>
      </c>
      <c r="Q109" s="281">
        <v>413.78542531470481</v>
      </c>
      <c r="R109" s="281">
        <v>1829.1463188605487</v>
      </c>
      <c r="S109" s="281">
        <v>4333.5126433427322</v>
      </c>
      <c r="T109" s="281">
        <v>4461.2221867759908</v>
      </c>
      <c r="U109" s="281">
        <v>1340.1378824654826</v>
      </c>
      <c r="V109" s="281">
        <v>3452.2698163468344</v>
      </c>
      <c r="W109" s="281">
        <v>11449.699812177065</v>
      </c>
      <c r="X109" s="281">
        <v>1060.6774131001575</v>
      </c>
      <c r="Y109" s="281">
        <v>1294.6356931620749</v>
      </c>
      <c r="Z109" s="281">
        <v>454.27235273708595</v>
      </c>
      <c r="AA109" s="281">
        <v>1251.2269412395096</v>
      </c>
      <c r="AB109" s="281">
        <v>4340.8013176815484</v>
      </c>
      <c r="AC109" s="281">
        <v>715.34791669970241</v>
      </c>
      <c r="AD109" s="281">
        <v>3736.7949158701435</v>
      </c>
      <c r="AE109" s="281">
        <v>3391.0620437932594</v>
      </c>
      <c r="AF109" s="281">
        <v>2059.4715767225985</v>
      </c>
      <c r="AG109" s="281">
        <v>1130.8329468686077</v>
      </c>
      <c r="AH109" s="281">
        <v>6629.847234962609</v>
      </c>
      <c r="AI109" s="281">
        <v>783.07536947661754</v>
      </c>
      <c r="AJ109" s="281">
        <v>1309.6119875513778</v>
      </c>
      <c r="AK109" s="281">
        <v>1130.6100373202967</v>
      </c>
      <c r="AL109" s="478">
        <v>3155.5994003174442</v>
      </c>
      <c r="AM109" s="281">
        <v>1203.2239650192764</v>
      </c>
      <c r="AN109" s="281">
        <v>45203.718319128056</v>
      </c>
      <c r="AO109" s="281">
        <v>108244.67489078589</v>
      </c>
      <c r="AP109" s="281">
        <v>9689.4029992484175</v>
      </c>
      <c r="AQ109" s="281">
        <v>105.74934850060812</v>
      </c>
      <c r="AR109" s="281">
        <v>6135.4559562413187</v>
      </c>
      <c r="AS109" s="281">
        <v>5065.6268549517408</v>
      </c>
      <c r="AT109" s="281">
        <v>9770.9327907970419</v>
      </c>
      <c r="AU109" s="281">
        <v>30570.275514621851</v>
      </c>
      <c r="AV109" s="281">
        <v>22116.557831788476</v>
      </c>
      <c r="AW109" s="281">
        <v>22114.234212056825</v>
      </c>
      <c r="AX109" s="281">
        <v>79497.645871703062</v>
      </c>
      <c r="AY109" s="281">
        <v>65628.509953393892</v>
      </c>
      <c r="AZ109" s="281">
        <v>90644.442830368935</v>
      </c>
      <c r="BA109" s="281"/>
      <c r="BB109" s="281"/>
      <c r="BC109" s="281"/>
      <c r="BD109" s="281"/>
      <c r="BE109" s="281"/>
      <c r="BF109" s="281"/>
      <c r="BG109" s="281"/>
      <c r="BH109" s="281"/>
      <c r="BI109" s="281"/>
      <c r="BJ109" s="281"/>
      <c r="BK109" s="281"/>
      <c r="BL109" s="281"/>
      <c r="BM109" s="281"/>
      <c r="BN109" s="281"/>
      <c r="BO109" s="281"/>
      <c r="BP109" s="281"/>
      <c r="BQ109" s="281"/>
      <c r="BR109" s="281"/>
      <c r="BS109" s="281"/>
      <c r="BT109" s="281"/>
      <c r="BU109" s="281"/>
      <c r="BV109" s="281"/>
      <c r="BW109" s="281"/>
      <c r="BX109" s="281"/>
      <c r="BY109" s="281"/>
      <c r="BZ109" s="281"/>
      <c r="CA109" s="281"/>
      <c r="CB109" s="281"/>
      <c r="CC109" s="281"/>
      <c r="CD109" s="281"/>
      <c r="CE109" s="281"/>
      <c r="CF109" s="281"/>
      <c r="CG109" s="281"/>
      <c r="CH109" s="281"/>
      <c r="CI109" s="281"/>
      <c r="CJ109" s="281"/>
      <c r="CK109" s="281"/>
      <c r="CL109" s="281"/>
      <c r="CM109" s="281"/>
      <c r="CN109" s="281"/>
      <c r="CO109" s="281"/>
      <c r="CP109" s="281"/>
      <c r="CQ109" s="281"/>
      <c r="CR109" s="281"/>
      <c r="CS109" s="281"/>
      <c r="CT109" s="281"/>
      <c r="CU109" s="281"/>
      <c r="CV109" s="281"/>
      <c r="CW109" s="281"/>
      <c r="CX109" s="281"/>
      <c r="CY109" s="281"/>
      <c r="CZ109" s="281"/>
      <c r="DA109" s="281"/>
      <c r="DB109" s="281"/>
      <c r="DC109" s="281"/>
      <c r="DD109" s="281"/>
      <c r="DE109" s="281"/>
      <c r="DF109" s="281"/>
      <c r="DG109" s="281"/>
      <c r="DH109" s="281"/>
      <c r="DI109" s="281"/>
      <c r="DJ109" s="281"/>
      <c r="DK109" s="281"/>
      <c r="DL109" s="281">
        <v>3327.4956389549488</v>
      </c>
      <c r="DM109" s="281">
        <v>4647.6226937478914</v>
      </c>
      <c r="DN109" s="281">
        <v>5729.7603196063874</v>
      </c>
      <c r="DO109" s="281">
        <v>7457.592058073692</v>
      </c>
      <c r="DP109" s="281">
        <v>9516.3827380272051</v>
      </c>
      <c r="DQ109" s="281">
        <v>13470.399110946973</v>
      </c>
      <c r="DR109" s="281">
        <v>20851.460688769519</v>
      </c>
      <c r="DS109" s="281">
        <v>35225.402273768006</v>
      </c>
      <c r="DT109" s="281">
        <v>78952.418364298079</v>
      </c>
      <c r="DU109" s="281">
        <v>24201.448765294903</v>
      </c>
      <c r="DV109" s="281">
        <v>24600.324573524376</v>
      </c>
      <c r="DW109" s="281">
        <v>30447.911989389642</v>
      </c>
      <c r="DX109" s="281">
        <v>42045.970500028168</v>
      </c>
      <c r="DY109" s="281">
        <v>48536.093916917263</v>
      </c>
      <c r="DZ109" s="281"/>
      <c r="EA109" s="281"/>
      <c r="EB109" s="281"/>
      <c r="EC109" s="281"/>
      <c r="ED109" s="281"/>
      <c r="EE109" s="281"/>
      <c r="EF109" s="281"/>
      <c r="EG109" s="281"/>
      <c r="EH109" s="281">
        <v>45612.827734111001</v>
      </c>
      <c r="EI109" s="281">
        <v>2429.658428840346</v>
      </c>
      <c r="EJ109" s="281">
        <v>1966.2137447015164</v>
      </c>
      <c r="EK109" s="281">
        <v>43587.005112188941</v>
      </c>
      <c r="EL109" s="281">
        <v>1034264.049664542</v>
      </c>
    </row>
    <row r="110" spans="1:142" x14ac:dyDescent="0.25">
      <c r="A110" s="279" t="s">
        <v>1551</v>
      </c>
      <c r="B110" s="281"/>
      <c r="C110" s="281"/>
      <c r="D110" s="281"/>
      <c r="E110" s="281"/>
      <c r="F110" s="281"/>
      <c r="G110" s="281"/>
      <c r="H110" s="281"/>
      <c r="I110" s="281"/>
      <c r="J110" s="281"/>
      <c r="K110" s="281"/>
      <c r="L110" s="281"/>
      <c r="M110" s="281"/>
      <c r="N110" s="281"/>
      <c r="O110" s="281"/>
      <c r="P110" s="281"/>
      <c r="Q110" s="281"/>
      <c r="R110" s="281"/>
      <c r="S110" s="281"/>
      <c r="T110" s="281"/>
      <c r="U110" s="281"/>
      <c r="V110" s="281"/>
      <c r="W110" s="281"/>
      <c r="X110" s="281"/>
      <c r="Y110" s="281"/>
      <c r="Z110" s="281"/>
      <c r="AA110" s="281"/>
      <c r="AB110" s="281"/>
      <c r="AC110" s="281"/>
      <c r="AD110" s="281"/>
      <c r="AE110" s="281"/>
      <c r="AF110" s="281"/>
      <c r="AG110" s="281"/>
      <c r="AH110" s="281"/>
      <c r="AI110" s="281"/>
      <c r="AJ110" s="281"/>
      <c r="AK110" s="281"/>
      <c r="AL110" s="478"/>
      <c r="AM110" s="281"/>
      <c r="AN110" s="281"/>
      <c r="AO110" s="281"/>
      <c r="AP110" s="281"/>
      <c r="AQ110" s="281">
        <v>4.6943247607748182</v>
      </c>
      <c r="AR110" s="281">
        <v>54.188777600278719</v>
      </c>
      <c r="AS110" s="281">
        <v>89.646798268377026</v>
      </c>
      <c r="AT110" s="281">
        <v>190.77404515075662</v>
      </c>
      <c r="AU110" s="281">
        <v>596.87393682520724</v>
      </c>
      <c r="AV110" s="281">
        <v>560.22247624903957</v>
      </c>
      <c r="AW110" s="281">
        <v>84.842557830949588</v>
      </c>
      <c r="AX110" s="281"/>
      <c r="AY110" s="281">
        <v>55310.822173774352</v>
      </c>
      <c r="AZ110" s="281">
        <v>6982.9232779642034</v>
      </c>
      <c r="BA110" s="281"/>
      <c r="BB110" s="281"/>
      <c r="BC110" s="281"/>
      <c r="BD110" s="281"/>
      <c r="BE110" s="281"/>
      <c r="BF110" s="281"/>
      <c r="BG110" s="281"/>
      <c r="BH110" s="281"/>
      <c r="BI110" s="281"/>
      <c r="BJ110" s="281"/>
      <c r="BK110" s="281"/>
      <c r="BL110" s="281"/>
      <c r="BM110" s="281"/>
      <c r="BN110" s="281"/>
      <c r="BO110" s="281"/>
      <c r="BP110" s="281"/>
      <c r="BQ110" s="281"/>
      <c r="BR110" s="281"/>
      <c r="BS110" s="281"/>
      <c r="BT110" s="281"/>
      <c r="BU110" s="281"/>
      <c r="BV110" s="281"/>
      <c r="BW110" s="281"/>
      <c r="BX110" s="281"/>
      <c r="BY110" s="281"/>
      <c r="BZ110" s="281"/>
      <c r="CA110" s="281"/>
      <c r="CB110" s="281"/>
      <c r="CC110" s="281"/>
      <c r="CD110" s="281"/>
      <c r="CE110" s="281"/>
      <c r="CF110" s="281"/>
      <c r="CG110" s="281"/>
      <c r="CH110" s="281"/>
      <c r="CI110" s="281"/>
      <c r="CJ110" s="281"/>
      <c r="CK110" s="281"/>
      <c r="CL110" s="281"/>
      <c r="CM110" s="281"/>
      <c r="CN110" s="281"/>
      <c r="CO110" s="281"/>
      <c r="CP110" s="281"/>
      <c r="CQ110" s="281"/>
      <c r="CR110" s="281"/>
      <c r="CS110" s="281"/>
      <c r="CT110" s="281"/>
      <c r="CU110" s="281"/>
      <c r="CV110" s="281"/>
      <c r="CW110" s="281"/>
      <c r="CX110" s="281"/>
      <c r="CY110" s="281"/>
      <c r="CZ110" s="281"/>
      <c r="DA110" s="281"/>
      <c r="DB110" s="281"/>
      <c r="DC110" s="281"/>
      <c r="DD110" s="281"/>
      <c r="DE110" s="281"/>
      <c r="DF110" s="281"/>
      <c r="DG110" s="281"/>
      <c r="DH110" s="281"/>
      <c r="DI110" s="281"/>
      <c r="DJ110" s="281"/>
      <c r="DK110" s="281"/>
      <c r="DL110" s="281">
        <v>65.961487190127869</v>
      </c>
      <c r="DM110" s="281">
        <v>152.40608885223102</v>
      </c>
      <c r="DN110" s="281">
        <v>256.99863276932746</v>
      </c>
      <c r="DO110" s="281">
        <v>325.54928202469637</v>
      </c>
      <c r="DP110" s="281">
        <v>409.22487314519162</v>
      </c>
      <c r="DQ110" s="281">
        <v>556.89695210281707</v>
      </c>
      <c r="DR110" s="281">
        <v>922.99218063199589</v>
      </c>
      <c r="DS110" s="281">
        <v>1549.9868688836334</v>
      </c>
      <c r="DT110" s="281">
        <v>3379.9713656946328</v>
      </c>
      <c r="DU110" s="281">
        <v>1139.9903422757047</v>
      </c>
      <c r="DV110" s="281">
        <v>938.99204508498826</v>
      </c>
      <c r="DW110" s="281">
        <v>1609.9863605823546</v>
      </c>
      <c r="DX110" s="281">
        <v>1235.9244295451656</v>
      </c>
      <c r="DY110" s="281">
        <v>3736.8751420915864</v>
      </c>
      <c r="DZ110" s="281">
        <v>650868</v>
      </c>
      <c r="EA110" s="281"/>
      <c r="EB110" s="281"/>
      <c r="EC110" s="281"/>
      <c r="ED110" s="281"/>
      <c r="EE110" s="281"/>
      <c r="EF110" s="281"/>
      <c r="EG110" s="281"/>
      <c r="EH110" s="281"/>
      <c r="EI110" s="281"/>
      <c r="EJ110" s="281">
        <v>114.89382935585093</v>
      </c>
      <c r="EK110" s="281">
        <v>620.09139797491093</v>
      </c>
      <c r="EL110" s="281">
        <v>731759.72964662907</v>
      </c>
    </row>
    <row r="111" spans="1:142" x14ac:dyDescent="0.25">
      <c r="A111" s="279" t="s">
        <v>1550</v>
      </c>
      <c r="B111" s="281">
        <v>4521.9611430812147</v>
      </c>
      <c r="C111" s="281">
        <v>464.14264650904687</v>
      </c>
      <c r="D111" s="281">
        <v>92.798426569591527</v>
      </c>
      <c r="E111" s="281">
        <v>685.07977572441666</v>
      </c>
      <c r="F111" s="281">
        <v>1858.3874239891518</v>
      </c>
      <c r="G111" s="281">
        <v>1851.3166540729744</v>
      </c>
      <c r="H111" s="281">
        <v>682.18063754698142</v>
      </c>
      <c r="I111" s="281">
        <v>45.017188287505711</v>
      </c>
      <c r="J111" s="281">
        <v>53.995843639086701</v>
      </c>
      <c r="K111" s="281">
        <v>1.3973339183313864E-2</v>
      </c>
      <c r="L111" s="281">
        <v>15327.241919790589</v>
      </c>
      <c r="M111" s="281">
        <v>2871.8047425017539</v>
      </c>
      <c r="N111" s="281">
        <v>758.20337686850621</v>
      </c>
      <c r="O111" s="281">
        <v>6541.7442239771099</v>
      </c>
      <c r="P111" s="281">
        <v>1505.7952648812334</v>
      </c>
      <c r="Q111" s="281">
        <v>191.96304417482733</v>
      </c>
      <c r="R111" s="281">
        <v>2156.2123644223066</v>
      </c>
      <c r="S111" s="281">
        <v>3235.4830067786938</v>
      </c>
      <c r="T111" s="281">
        <v>1617.3551358266127</v>
      </c>
      <c r="U111" s="281">
        <v>535.51496716844497</v>
      </c>
      <c r="V111" s="281">
        <v>1673.9764055858586</v>
      </c>
      <c r="W111" s="281">
        <v>2773.0188004892739</v>
      </c>
      <c r="X111" s="281">
        <v>213.5651516217381</v>
      </c>
      <c r="Y111" s="281">
        <v>743.11467646397841</v>
      </c>
      <c r="Z111" s="281">
        <v>134.97217186743845</v>
      </c>
      <c r="AA111" s="281">
        <v>656.17741517502589</v>
      </c>
      <c r="AB111" s="281">
        <v>3623.9837227947141</v>
      </c>
      <c r="AC111" s="281">
        <v>764.49189594576274</v>
      </c>
      <c r="AD111" s="281">
        <v>1324.0393450690831</v>
      </c>
      <c r="AE111" s="281">
        <v>1337.0060187436272</v>
      </c>
      <c r="AF111" s="281">
        <v>2086.9865895215175</v>
      </c>
      <c r="AG111" s="281">
        <v>480.75147173077352</v>
      </c>
      <c r="AH111" s="281">
        <v>3701.7410746805308</v>
      </c>
      <c r="AI111" s="281">
        <v>564.14802427294489</v>
      </c>
      <c r="AJ111" s="281">
        <v>537.46236188388912</v>
      </c>
      <c r="AK111" s="281">
        <v>2143.6610171073321</v>
      </c>
      <c r="AL111" s="478">
        <v>161.50071856495569</v>
      </c>
      <c r="AM111" s="281">
        <v>233.19693353334529</v>
      </c>
      <c r="AN111" s="281">
        <v>51150.992207339514</v>
      </c>
      <c r="AO111" s="281">
        <v>94939.774433924249</v>
      </c>
      <c r="AP111" s="281">
        <v>15561.498447637674</v>
      </c>
      <c r="AQ111" s="281">
        <v>25.821079037401208</v>
      </c>
      <c r="AR111" s="281">
        <v>311.91097185400133</v>
      </c>
      <c r="AS111" s="281">
        <v>967.8311021268056</v>
      </c>
      <c r="AT111" s="281">
        <v>10246.383108701455</v>
      </c>
      <c r="AU111" s="281">
        <v>32057.814885022824</v>
      </c>
      <c r="AV111" s="281">
        <v>3230.5627037278755</v>
      </c>
      <c r="AW111" s="281">
        <v>59429.961586068021</v>
      </c>
      <c r="AX111" s="281">
        <v>45535.114149381378</v>
      </c>
      <c r="AY111" s="281">
        <v>11186.151445058902</v>
      </c>
      <c r="AZ111" s="281">
        <v>9730.1623865738238</v>
      </c>
      <c r="BA111" s="281"/>
      <c r="BB111" s="281"/>
      <c r="BC111" s="281"/>
      <c r="BD111" s="281"/>
      <c r="BE111" s="281"/>
      <c r="BF111" s="281"/>
      <c r="BG111" s="281"/>
      <c r="BH111" s="281"/>
      <c r="BI111" s="281"/>
      <c r="BJ111" s="281"/>
      <c r="BK111" s="281"/>
      <c r="BL111" s="281"/>
      <c r="BM111" s="281"/>
      <c r="BN111" s="281"/>
      <c r="BO111" s="281"/>
      <c r="BP111" s="281"/>
      <c r="BQ111" s="281"/>
      <c r="BR111" s="281"/>
      <c r="BS111" s="281"/>
      <c r="BT111" s="281"/>
      <c r="BU111" s="281"/>
      <c r="BV111" s="281"/>
      <c r="BW111" s="281"/>
      <c r="BX111" s="281"/>
      <c r="BY111" s="281"/>
      <c r="BZ111" s="281"/>
      <c r="CA111" s="281"/>
      <c r="CB111" s="281"/>
      <c r="CC111" s="281"/>
      <c r="CD111" s="281"/>
      <c r="CE111" s="281"/>
      <c r="CF111" s="281"/>
      <c r="CG111" s="281"/>
      <c r="CH111" s="281"/>
      <c r="CI111" s="281"/>
      <c r="CJ111" s="281"/>
      <c r="CK111" s="281"/>
      <c r="CL111" s="281"/>
      <c r="CM111" s="281"/>
      <c r="CN111" s="281"/>
      <c r="CO111" s="281"/>
      <c r="CP111" s="281"/>
      <c r="CQ111" s="281"/>
      <c r="CR111" s="281"/>
      <c r="CS111" s="281"/>
      <c r="CT111" s="281"/>
      <c r="CU111" s="281"/>
      <c r="CV111" s="281"/>
      <c r="CW111" s="281"/>
      <c r="CX111" s="281"/>
      <c r="CY111" s="281"/>
      <c r="CZ111" s="281"/>
      <c r="DA111" s="281"/>
      <c r="DB111" s="281"/>
      <c r="DC111" s="281"/>
      <c r="DD111" s="281"/>
      <c r="DE111" s="281"/>
      <c r="DF111" s="281"/>
      <c r="DG111" s="281"/>
      <c r="DH111" s="281"/>
      <c r="DI111" s="281"/>
      <c r="DJ111" s="281"/>
      <c r="DK111" s="281"/>
      <c r="DL111" s="281">
        <v>2034.0628969308723</v>
      </c>
      <c r="DM111" s="281">
        <v>3486.944707484331</v>
      </c>
      <c r="DN111" s="281">
        <v>5032.933268045238</v>
      </c>
      <c r="DO111" s="281">
        <v>5995.7724239060663</v>
      </c>
      <c r="DP111" s="281">
        <v>8533.7740661231219</v>
      </c>
      <c r="DQ111" s="281">
        <v>9927.5210708705617</v>
      </c>
      <c r="DR111" s="281">
        <v>13781.83561121604</v>
      </c>
      <c r="DS111" s="281">
        <v>24080.180145387298</v>
      </c>
      <c r="DT111" s="281">
        <v>50613.79925742725</v>
      </c>
      <c r="DU111" s="281">
        <v>16128.647512651867</v>
      </c>
      <c r="DV111" s="281">
        <v>15569.18740057274</v>
      </c>
      <c r="DW111" s="281">
        <v>21143.740839585098</v>
      </c>
      <c r="DX111" s="281">
        <v>29801.448816482036</v>
      </c>
      <c r="DY111" s="281">
        <v>31395.39525709868</v>
      </c>
      <c r="DZ111" s="281"/>
      <c r="EA111" s="281"/>
      <c r="EB111" s="281"/>
      <c r="EC111" s="281"/>
      <c r="ED111" s="281"/>
      <c r="EE111" s="281"/>
      <c r="EF111" s="281"/>
      <c r="EG111" s="281"/>
      <c r="EH111" s="281"/>
      <c r="EI111" s="281"/>
      <c r="EJ111" s="281">
        <v>1418.6060794958441</v>
      </c>
      <c r="EK111" s="281">
        <v>19437.343155560604</v>
      </c>
      <c r="EL111" s="281">
        <v>660905.17656949256</v>
      </c>
    </row>
    <row r="112" spans="1:142" x14ac:dyDescent="0.25">
      <c r="A112" s="279" t="s">
        <v>1549</v>
      </c>
      <c r="B112" s="281"/>
      <c r="C112" s="281"/>
      <c r="D112" s="281"/>
      <c r="E112" s="281"/>
      <c r="F112" s="281"/>
      <c r="G112" s="281"/>
      <c r="H112" s="281"/>
      <c r="I112" s="281"/>
      <c r="J112" s="281"/>
      <c r="K112" s="281"/>
      <c r="L112" s="281"/>
      <c r="M112" s="281"/>
      <c r="N112" s="281"/>
      <c r="O112" s="281"/>
      <c r="P112" s="281"/>
      <c r="Q112" s="281"/>
      <c r="R112" s="281"/>
      <c r="S112" s="281"/>
      <c r="T112" s="281"/>
      <c r="U112" s="281"/>
      <c r="V112" s="281"/>
      <c r="W112" s="281"/>
      <c r="X112" s="281"/>
      <c r="Y112" s="281"/>
      <c r="Z112" s="281"/>
      <c r="AA112" s="281"/>
      <c r="AB112" s="281"/>
      <c r="AC112" s="281"/>
      <c r="AD112" s="281"/>
      <c r="AE112" s="281"/>
      <c r="AF112" s="281"/>
      <c r="AG112" s="281"/>
      <c r="AH112" s="281"/>
      <c r="AI112" s="281"/>
      <c r="AJ112" s="281"/>
      <c r="AK112" s="281"/>
      <c r="AL112" s="478">
        <v>2551.4869985177265</v>
      </c>
      <c r="AM112" s="281"/>
      <c r="AN112" s="281"/>
      <c r="AO112" s="281"/>
      <c r="AP112" s="281"/>
      <c r="AQ112" s="281"/>
      <c r="AR112" s="281"/>
      <c r="AS112" s="281"/>
      <c r="AT112" s="281"/>
      <c r="AU112" s="281"/>
      <c r="AV112" s="281"/>
      <c r="AW112" s="281"/>
      <c r="AX112" s="281"/>
      <c r="AY112" s="281"/>
      <c r="AZ112" s="281"/>
      <c r="BA112" s="281"/>
      <c r="BB112" s="281"/>
      <c r="BC112" s="281"/>
      <c r="BD112" s="281"/>
      <c r="BE112" s="281"/>
      <c r="BF112" s="281"/>
      <c r="BG112" s="281"/>
      <c r="BH112" s="281"/>
      <c r="BI112" s="281"/>
      <c r="BJ112" s="281"/>
      <c r="BK112" s="281"/>
      <c r="BL112" s="281"/>
      <c r="BM112" s="281"/>
      <c r="BN112" s="281"/>
      <c r="BO112" s="281"/>
      <c r="BP112" s="281"/>
      <c r="BQ112" s="281"/>
      <c r="BR112" s="281"/>
      <c r="BS112" s="281"/>
      <c r="BT112" s="281"/>
      <c r="BU112" s="281"/>
      <c r="BV112" s="281"/>
      <c r="BW112" s="281"/>
      <c r="BX112" s="281"/>
      <c r="BY112" s="281"/>
      <c r="BZ112" s="281"/>
      <c r="CA112" s="281"/>
      <c r="CB112" s="281"/>
      <c r="CC112" s="281"/>
      <c r="CD112" s="281"/>
      <c r="CE112" s="281"/>
      <c r="CF112" s="281"/>
      <c r="CG112" s="281"/>
      <c r="CH112" s="281"/>
      <c r="CI112" s="281"/>
      <c r="CJ112" s="281"/>
      <c r="CK112" s="281"/>
      <c r="CL112" s="281"/>
      <c r="CM112" s="281"/>
      <c r="CN112" s="281"/>
      <c r="CO112" s="281"/>
      <c r="CP112" s="281"/>
      <c r="CQ112" s="281"/>
      <c r="CR112" s="281"/>
      <c r="CS112" s="281"/>
      <c r="CT112" s="281"/>
      <c r="CU112" s="281"/>
      <c r="CV112" s="281"/>
      <c r="CW112" s="281"/>
      <c r="CX112" s="281"/>
      <c r="CY112" s="281"/>
      <c r="CZ112" s="281"/>
      <c r="DA112" s="281"/>
      <c r="DB112" s="281"/>
      <c r="DC112" s="281"/>
      <c r="DD112" s="281"/>
      <c r="DE112" s="281"/>
      <c r="DF112" s="281"/>
      <c r="DG112" s="281"/>
      <c r="DH112" s="281"/>
      <c r="DI112" s="281"/>
      <c r="DJ112" s="281"/>
      <c r="DK112" s="281"/>
      <c r="DL112" s="281"/>
      <c r="DM112" s="281"/>
      <c r="DN112" s="281"/>
      <c r="DO112" s="281"/>
      <c r="DP112" s="281"/>
      <c r="DQ112" s="281"/>
      <c r="DR112" s="281"/>
      <c r="DS112" s="281"/>
      <c r="DT112" s="281"/>
      <c r="DU112" s="281"/>
      <c r="DV112" s="281"/>
      <c r="DW112" s="281"/>
      <c r="DX112" s="281"/>
      <c r="DY112" s="281"/>
      <c r="DZ112" s="281"/>
      <c r="EA112" s="281"/>
      <c r="EB112" s="281"/>
      <c r="EC112" s="281"/>
      <c r="ED112" s="281"/>
      <c r="EE112" s="281"/>
      <c r="EF112" s="281"/>
      <c r="EG112" s="281"/>
      <c r="EH112" s="281"/>
      <c r="EI112" s="281">
        <v>2681.4064369354828</v>
      </c>
      <c r="EJ112" s="281"/>
      <c r="EK112" s="281"/>
      <c r="EL112" s="281">
        <v>5232.8934354532093</v>
      </c>
    </row>
    <row r="113" spans="1:142" x14ac:dyDescent="0.25">
      <c r="A113" s="279" t="s">
        <v>1548</v>
      </c>
      <c r="B113" s="281"/>
      <c r="C113" s="281"/>
      <c r="D113" s="281"/>
      <c r="E113" s="281"/>
      <c r="F113" s="281"/>
      <c r="G113" s="281"/>
      <c r="H113" s="281"/>
      <c r="I113" s="281"/>
      <c r="J113" s="281"/>
      <c r="K113" s="281"/>
      <c r="L113" s="281"/>
      <c r="M113" s="281"/>
      <c r="N113" s="281"/>
      <c r="O113" s="281"/>
      <c r="P113" s="281"/>
      <c r="Q113" s="281"/>
      <c r="R113" s="281"/>
      <c r="S113" s="281"/>
      <c r="T113" s="281"/>
      <c r="U113" s="281"/>
      <c r="V113" s="281"/>
      <c r="W113" s="281"/>
      <c r="X113" s="281"/>
      <c r="Y113" s="281"/>
      <c r="Z113" s="281"/>
      <c r="AA113" s="281"/>
      <c r="AB113" s="281"/>
      <c r="AC113" s="281"/>
      <c r="AD113" s="281"/>
      <c r="AE113" s="281"/>
      <c r="AF113" s="281"/>
      <c r="AG113" s="281"/>
      <c r="AH113" s="281"/>
      <c r="AI113" s="281"/>
      <c r="AJ113" s="281"/>
      <c r="AK113" s="281"/>
      <c r="AL113" s="478"/>
      <c r="AM113" s="281"/>
      <c r="AN113" s="281"/>
      <c r="AO113" s="281"/>
      <c r="AP113" s="281"/>
      <c r="AQ113" s="281"/>
      <c r="AR113" s="281"/>
      <c r="AS113" s="281"/>
      <c r="AT113" s="281"/>
      <c r="AU113" s="281"/>
      <c r="AV113" s="281"/>
      <c r="AW113" s="281"/>
      <c r="AX113" s="281"/>
      <c r="AY113" s="281"/>
      <c r="AZ113" s="281"/>
      <c r="BA113" s="281">
        <v>23896.734331005158</v>
      </c>
      <c r="BB113" s="281">
        <v>1356.4778570889844</v>
      </c>
      <c r="BC113" s="281">
        <v>1684.536061266135</v>
      </c>
      <c r="BD113" s="281"/>
      <c r="BE113" s="281">
        <v>5660.7799178137448</v>
      </c>
      <c r="BF113" s="281">
        <v>222.16156527132279</v>
      </c>
      <c r="BG113" s="281">
        <v>12882.07637076112</v>
      </c>
      <c r="BH113" s="281"/>
      <c r="BI113" s="281"/>
      <c r="BJ113" s="281"/>
      <c r="BK113" s="281">
        <v>95511.761661208584</v>
      </c>
      <c r="BL113" s="281">
        <v>44873.530968934312</v>
      </c>
      <c r="BM113" s="281">
        <v>4382.6276267768526</v>
      </c>
      <c r="BN113" s="281">
        <v>20322.298961141802</v>
      </c>
      <c r="BO113" s="281">
        <v>2299.4430163238608</v>
      </c>
      <c r="BP113" s="281">
        <v>4559.1049596695448</v>
      </c>
      <c r="BQ113" s="281">
        <v>10749.42001399708</v>
      </c>
      <c r="BR113" s="281">
        <v>26913.239419277586</v>
      </c>
      <c r="BS113" s="281">
        <v>22937.287676739943</v>
      </c>
      <c r="BT113" s="281">
        <v>39339.266755302873</v>
      </c>
      <c r="BU113" s="281">
        <v>44287.570759896822</v>
      </c>
      <c r="BV113" s="281">
        <v>7844.9335126376718</v>
      </c>
      <c r="BW113" s="281">
        <v>37371.134715855165</v>
      </c>
      <c r="BX113" s="281">
        <v>41614.1652551527</v>
      </c>
      <c r="BY113" s="281">
        <v>6121.33428812286</v>
      </c>
      <c r="BZ113" s="281">
        <v>26754.823687401902</v>
      </c>
      <c r="CA113" s="281">
        <v>4427.6371892288598</v>
      </c>
      <c r="CB113" s="281">
        <v>24576.309118232915</v>
      </c>
      <c r="CC113" s="281">
        <v>48540.953985558626</v>
      </c>
      <c r="CD113" s="281">
        <v>22655.212433175529</v>
      </c>
      <c r="CE113" s="281">
        <v>27679.548623987939</v>
      </c>
      <c r="CF113" s="281">
        <v>27490.69456641432</v>
      </c>
      <c r="CG113" s="281">
        <v>23177.748871278407</v>
      </c>
      <c r="CH113" s="281">
        <v>14441.048081288409</v>
      </c>
      <c r="CI113" s="281">
        <v>88408.818168387312</v>
      </c>
      <c r="CJ113" s="281">
        <v>2365.2123862746366</v>
      </c>
      <c r="CK113" s="281">
        <v>7385.5234780039536</v>
      </c>
      <c r="CL113" s="281">
        <v>11133.149859885598</v>
      </c>
      <c r="CM113" s="281"/>
      <c r="CN113" s="281"/>
      <c r="CO113" s="281"/>
      <c r="CP113" s="281"/>
      <c r="CQ113" s="281"/>
      <c r="CR113" s="281"/>
      <c r="CS113" s="281"/>
      <c r="CT113" s="281"/>
      <c r="CU113" s="281"/>
      <c r="CV113" s="281"/>
      <c r="CW113" s="281"/>
      <c r="CX113" s="281"/>
      <c r="CY113" s="281"/>
      <c r="CZ113" s="281"/>
      <c r="DA113" s="281"/>
      <c r="DB113" s="281">
        <v>428.7371447928071</v>
      </c>
      <c r="DC113" s="281"/>
      <c r="DD113" s="281"/>
      <c r="DE113" s="281"/>
      <c r="DF113" s="281"/>
      <c r="DG113" s="281"/>
      <c r="DH113" s="281"/>
      <c r="DI113" s="281"/>
      <c r="DJ113" s="281"/>
      <c r="DK113" s="281"/>
      <c r="DL113" s="281"/>
      <c r="DM113" s="281"/>
      <c r="DN113" s="281"/>
      <c r="DO113" s="281"/>
      <c r="DP113" s="281"/>
      <c r="DQ113" s="281"/>
      <c r="DR113" s="281"/>
      <c r="DS113" s="281"/>
      <c r="DT113" s="281"/>
      <c r="DU113" s="281"/>
      <c r="DV113" s="281"/>
      <c r="DW113" s="281"/>
      <c r="DX113" s="281"/>
      <c r="DY113" s="281"/>
      <c r="DZ113" s="281"/>
      <c r="EA113" s="281"/>
      <c r="EB113" s="281"/>
      <c r="EC113" s="281"/>
      <c r="ED113" s="281"/>
      <c r="EE113" s="281"/>
      <c r="EF113" s="281"/>
      <c r="EG113" s="281"/>
      <c r="EH113" s="281"/>
      <c r="EI113" s="281"/>
      <c r="EJ113" s="281"/>
      <c r="EK113" s="281"/>
      <c r="EL113" s="281">
        <v>784295.30328815524</v>
      </c>
    </row>
    <row r="114" spans="1:142" x14ac:dyDescent="0.25">
      <c r="A114" s="279" t="s">
        <v>1454</v>
      </c>
      <c r="B114" s="281">
        <v>4175.5807725469886</v>
      </c>
      <c r="C114" s="281">
        <v>838.97480276604995</v>
      </c>
      <c r="D114" s="281">
        <v>183.41828805573343</v>
      </c>
      <c r="E114" s="281">
        <v>1231.3532734022197</v>
      </c>
      <c r="F114" s="281">
        <v>2307.1530276613476</v>
      </c>
      <c r="G114" s="281">
        <v>4749.2565962723284</v>
      </c>
      <c r="H114" s="281">
        <v>293.58980392936957</v>
      </c>
      <c r="I114" s="281">
        <v>19.374029040614761</v>
      </c>
      <c r="J114" s="281">
        <v>23.238169297803616</v>
      </c>
      <c r="K114" s="281">
        <v>3.9237737333352093E-5</v>
      </c>
      <c r="L114" s="281">
        <v>1661.4165310113679</v>
      </c>
      <c r="M114" s="281">
        <v>952.55202364129605</v>
      </c>
      <c r="N114" s="281">
        <v>124.10196885929525</v>
      </c>
      <c r="O114" s="281">
        <v>392.47823765892537</v>
      </c>
      <c r="P114" s="281">
        <v>1.8024676052505684</v>
      </c>
      <c r="Q114" s="281">
        <v>32.377919602830417</v>
      </c>
      <c r="R114" s="281">
        <v>1007.3336313747963</v>
      </c>
      <c r="S114" s="281">
        <v>139.9390426722816</v>
      </c>
      <c r="T114" s="281">
        <v>188.83264215642592</v>
      </c>
      <c r="U114" s="281">
        <v>21.983296387092299</v>
      </c>
      <c r="V114" s="281">
        <v>4.7005977342224412</v>
      </c>
      <c r="W114" s="281">
        <v>320.65439285627565</v>
      </c>
      <c r="X114" s="281">
        <v>70.643018487730345</v>
      </c>
      <c r="Y114" s="281">
        <v>198.7116961828647</v>
      </c>
      <c r="Z114" s="281">
        <v>25.042714733898777</v>
      </c>
      <c r="AA114" s="281">
        <v>572.48245411191249</v>
      </c>
      <c r="AB114" s="281">
        <v>562.87366882316587</v>
      </c>
      <c r="AC114" s="281">
        <v>49.821445459610928</v>
      </c>
      <c r="AD114" s="281">
        <v>1209.6313322592071</v>
      </c>
      <c r="AE114" s="281">
        <v>398.34272817957338</v>
      </c>
      <c r="AF114" s="281">
        <v>356.11249357972184</v>
      </c>
      <c r="AG114" s="281">
        <v>7.1613991924958835</v>
      </c>
      <c r="AH114" s="281">
        <v>369.9212887070492</v>
      </c>
      <c r="AI114" s="281"/>
      <c r="AJ114" s="281">
        <v>449.86941563690976</v>
      </c>
      <c r="AK114" s="281">
        <v>176.35232508504205</v>
      </c>
      <c r="AL114" s="478">
        <v>410.04551253190158</v>
      </c>
      <c r="AM114" s="281">
        <v>649.97337398785203</v>
      </c>
      <c r="AN114" s="281">
        <v>4245.1473981759718</v>
      </c>
      <c r="AO114" s="281">
        <v>8550.8376159842319</v>
      </c>
      <c r="AP114" s="281">
        <v>435.43621414760366</v>
      </c>
      <c r="AQ114" s="281"/>
      <c r="AR114" s="281">
        <v>45.214045189453252</v>
      </c>
      <c r="AS114" s="281">
        <v>283.07795750338016</v>
      </c>
      <c r="AT114" s="281">
        <v>805.39937664068918</v>
      </c>
      <c r="AU114" s="281">
        <v>2519.8495753036632</v>
      </c>
      <c r="AV114" s="281">
        <v>135.30860457243139</v>
      </c>
      <c r="AW114" s="281">
        <v>756.37380926383105</v>
      </c>
      <c r="AX114" s="281">
        <v>1649.2329093227308</v>
      </c>
      <c r="AY114" s="281">
        <v>8841.6309191126911</v>
      </c>
      <c r="AZ114" s="281">
        <v>27712.440917775602</v>
      </c>
      <c r="BA114" s="281"/>
      <c r="BB114" s="281"/>
      <c r="BC114" s="281"/>
      <c r="BD114" s="281"/>
      <c r="BE114" s="281"/>
      <c r="BF114" s="281"/>
      <c r="BG114" s="281"/>
      <c r="BH114" s="281"/>
      <c r="BI114" s="281"/>
      <c r="BJ114" s="281"/>
      <c r="BK114" s="281"/>
      <c r="BL114" s="281"/>
      <c r="BM114" s="281"/>
      <c r="BN114" s="281"/>
      <c r="BO114" s="281"/>
      <c r="BP114" s="281"/>
      <c r="BQ114" s="281"/>
      <c r="BR114" s="281"/>
      <c r="BS114" s="281"/>
      <c r="BT114" s="281"/>
      <c r="BU114" s="281"/>
      <c r="BV114" s="281"/>
      <c r="BW114" s="281"/>
      <c r="BX114" s="281"/>
      <c r="BY114" s="281"/>
      <c r="BZ114" s="281"/>
      <c r="CA114" s="281"/>
      <c r="CB114" s="281"/>
      <c r="CC114" s="281"/>
      <c r="CD114" s="281"/>
      <c r="CE114" s="281"/>
      <c r="CF114" s="281"/>
      <c r="CG114" s="281"/>
      <c r="CH114" s="281"/>
      <c r="CI114" s="281"/>
      <c r="CJ114" s="281"/>
      <c r="CK114" s="281"/>
      <c r="CL114" s="281"/>
      <c r="CM114" s="281"/>
      <c r="CN114" s="281"/>
      <c r="CO114" s="281"/>
      <c r="CP114" s="281"/>
      <c r="CQ114" s="281"/>
      <c r="CR114" s="281"/>
      <c r="CS114" s="281"/>
      <c r="CT114" s="281"/>
      <c r="CU114" s="281"/>
      <c r="CV114" s="281"/>
      <c r="CW114" s="281"/>
      <c r="CX114" s="281"/>
      <c r="CY114" s="281"/>
      <c r="CZ114" s="281"/>
      <c r="DA114" s="281"/>
      <c r="DB114" s="281"/>
      <c r="DC114" s="281"/>
      <c r="DD114" s="281"/>
      <c r="DE114" s="281"/>
      <c r="DF114" s="281"/>
      <c r="DG114" s="281"/>
      <c r="DH114" s="281"/>
      <c r="DI114" s="281"/>
      <c r="DJ114" s="281"/>
      <c r="DK114" s="281"/>
      <c r="DL114" s="281"/>
      <c r="DM114" s="281"/>
      <c r="DN114" s="281"/>
      <c r="DO114" s="281"/>
      <c r="DP114" s="281"/>
      <c r="DQ114" s="281"/>
      <c r="DR114" s="281"/>
      <c r="DS114" s="281"/>
      <c r="DT114" s="281"/>
      <c r="DU114" s="281"/>
      <c r="DV114" s="281"/>
      <c r="DW114" s="281"/>
      <c r="DX114" s="281"/>
      <c r="DY114" s="281"/>
      <c r="DZ114" s="281"/>
      <c r="EA114" s="281"/>
      <c r="EB114" s="281"/>
      <c r="EC114" s="281"/>
      <c r="ED114" s="281"/>
      <c r="EE114" s="281"/>
      <c r="EF114" s="281"/>
      <c r="EG114" s="281"/>
      <c r="EH114" s="281"/>
      <c r="EI114" s="281"/>
      <c r="EJ114" s="281"/>
      <c r="EK114" s="281">
        <v>483.81864604727269</v>
      </c>
      <c r="EL114" s="281">
        <v>80640.86440976875</v>
      </c>
    </row>
    <row r="115" spans="1:142" x14ac:dyDescent="0.25">
      <c r="A115" s="279" t="s">
        <v>1453</v>
      </c>
      <c r="B115" s="281">
        <v>3685.9213480937151</v>
      </c>
      <c r="C115" s="281">
        <v>426.76659312655983</v>
      </c>
      <c r="D115" s="281">
        <v>161.90904564606561</v>
      </c>
      <c r="E115" s="281">
        <v>1691.9171110177235</v>
      </c>
      <c r="F115" s="281">
        <v>4418.470454693299</v>
      </c>
      <c r="G115" s="281">
        <v>6241.3215269744433</v>
      </c>
      <c r="H115" s="281">
        <v>991.88369630078034</v>
      </c>
      <c r="I115" s="281">
        <v>65.454533092936416</v>
      </c>
      <c r="J115" s="281">
        <v>78.509406491221043</v>
      </c>
      <c r="K115" s="281">
        <v>8.7343721230145333E-3</v>
      </c>
      <c r="L115" s="281">
        <v>4309.6019019980422</v>
      </c>
      <c r="M115" s="281">
        <v>1008.2123666214064</v>
      </c>
      <c r="N115" s="281">
        <v>444.69270330480032</v>
      </c>
      <c r="O115" s="281">
        <v>1023.7196780984783</v>
      </c>
      <c r="P115" s="281">
        <v>76.349346465609969</v>
      </c>
      <c r="Q115" s="281">
        <v>252.74555843457827</v>
      </c>
      <c r="R115" s="281">
        <v>1913.9363012929534</v>
      </c>
      <c r="S115" s="281">
        <v>693.96361760827153</v>
      </c>
      <c r="T115" s="281">
        <v>598.92765194735841</v>
      </c>
      <c r="U115" s="281">
        <v>184.15183409249457</v>
      </c>
      <c r="V115" s="281">
        <v>1046.3592602828169</v>
      </c>
      <c r="W115" s="281">
        <v>1381.5137123481115</v>
      </c>
      <c r="X115" s="281">
        <v>410.82889112642761</v>
      </c>
      <c r="Y115" s="281">
        <v>1869.3682446583123</v>
      </c>
      <c r="Z115" s="281">
        <v>279.5239974305166</v>
      </c>
      <c r="AA115" s="281">
        <v>861.72075012872028</v>
      </c>
      <c r="AB115" s="281">
        <v>3728.5057443102592</v>
      </c>
      <c r="AC115" s="281">
        <v>262.87091310409431</v>
      </c>
      <c r="AD115" s="281">
        <v>3701.6284868829316</v>
      </c>
      <c r="AE115" s="281">
        <v>1328.6549634838259</v>
      </c>
      <c r="AF115" s="281">
        <v>1163.9247392154793</v>
      </c>
      <c r="AG115" s="281">
        <v>672.37186979921614</v>
      </c>
      <c r="AH115" s="281">
        <v>1364.4123166805946</v>
      </c>
      <c r="AI115" s="281">
        <v>625.2052940965882</v>
      </c>
      <c r="AJ115" s="281">
        <v>918.2387252481069</v>
      </c>
      <c r="AK115" s="281">
        <v>525.84419075919516</v>
      </c>
      <c r="AL115" s="478">
        <v>483.18418170699516</v>
      </c>
      <c r="AM115" s="281">
        <v>734.53042103609357</v>
      </c>
      <c r="AN115" s="281">
        <v>6865.1572200323917</v>
      </c>
      <c r="AO115" s="281">
        <v>19808.669189783453</v>
      </c>
      <c r="AP115" s="281">
        <v>1377.8917776447095</v>
      </c>
      <c r="AQ115" s="281">
        <v>0.12389517147112057</v>
      </c>
      <c r="AR115" s="281">
        <v>39.310616821842899</v>
      </c>
      <c r="AS115" s="281">
        <v>639.12818379159876</v>
      </c>
      <c r="AT115" s="281">
        <v>1937.7800790336676</v>
      </c>
      <c r="AU115" s="281">
        <v>6062.7242220517492</v>
      </c>
      <c r="AV115" s="281">
        <v>732.87382400355318</v>
      </c>
      <c r="AW115" s="281">
        <v>886.27816975921633</v>
      </c>
      <c r="AX115" s="281">
        <v>5520.1760020397542</v>
      </c>
      <c r="AY115" s="281">
        <v>18261.074103425653</v>
      </c>
      <c r="AZ115" s="281">
        <v>33898.476501937621</v>
      </c>
      <c r="BA115" s="281"/>
      <c r="BB115" s="281"/>
      <c r="BC115" s="281"/>
      <c r="BD115" s="281"/>
      <c r="BE115" s="281"/>
      <c r="BF115" s="281"/>
      <c r="BG115" s="281"/>
      <c r="BH115" s="281"/>
      <c r="BI115" s="281"/>
      <c r="BJ115" s="281"/>
      <c r="BK115" s="281"/>
      <c r="BL115" s="281"/>
      <c r="BM115" s="281"/>
      <c r="BN115" s="281"/>
      <c r="BO115" s="281"/>
      <c r="BP115" s="281"/>
      <c r="BQ115" s="281"/>
      <c r="BR115" s="281"/>
      <c r="BS115" s="281"/>
      <c r="BT115" s="281"/>
      <c r="BU115" s="281"/>
      <c r="BV115" s="281"/>
      <c r="BW115" s="281"/>
      <c r="BX115" s="281"/>
      <c r="BY115" s="281"/>
      <c r="BZ115" s="281"/>
      <c r="CA115" s="281"/>
      <c r="CB115" s="281"/>
      <c r="CC115" s="281"/>
      <c r="CD115" s="281"/>
      <c r="CE115" s="281"/>
      <c r="CF115" s="281"/>
      <c r="CG115" s="281"/>
      <c r="CH115" s="281"/>
      <c r="CI115" s="281"/>
      <c r="CJ115" s="281"/>
      <c r="CK115" s="281"/>
      <c r="CL115" s="281"/>
      <c r="CM115" s="281"/>
      <c r="CN115" s="281"/>
      <c r="CO115" s="281"/>
      <c r="CP115" s="281"/>
      <c r="CQ115" s="281"/>
      <c r="CR115" s="281"/>
      <c r="CS115" s="281"/>
      <c r="CT115" s="281"/>
      <c r="CU115" s="281"/>
      <c r="CV115" s="281"/>
      <c r="CW115" s="281"/>
      <c r="CX115" s="281"/>
      <c r="CY115" s="281"/>
      <c r="CZ115" s="281"/>
      <c r="DA115" s="281"/>
      <c r="DB115" s="281"/>
      <c r="DC115" s="281"/>
      <c r="DD115" s="281"/>
      <c r="DE115" s="281"/>
      <c r="DF115" s="281"/>
      <c r="DG115" s="281"/>
      <c r="DH115" s="281"/>
      <c r="DI115" s="281"/>
      <c r="DJ115" s="281"/>
      <c r="DK115" s="281"/>
      <c r="DL115" s="281"/>
      <c r="DM115" s="281"/>
      <c r="DN115" s="281"/>
      <c r="DO115" s="281"/>
      <c r="DP115" s="281"/>
      <c r="DQ115" s="281"/>
      <c r="DR115" s="281"/>
      <c r="DS115" s="281"/>
      <c r="DT115" s="281"/>
      <c r="DU115" s="281"/>
      <c r="DV115" s="281"/>
      <c r="DW115" s="281"/>
      <c r="DX115" s="281"/>
      <c r="DY115" s="281"/>
      <c r="DZ115" s="281"/>
      <c r="EA115" s="281"/>
      <c r="EB115" s="281"/>
      <c r="EC115" s="281"/>
      <c r="ED115" s="281"/>
      <c r="EE115" s="281"/>
      <c r="EF115" s="281"/>
      <c r="EG115" s="281"/>
      <c r="EH115" s="281"/>
      <c r="EI115" s="281"/>
      <c r="EJ115" s="281"/>
      <c r="EK115" s="281">
        <v>879.16766163215289</v>
      </c>
      <c r="EL115" s="281">
        <v>146535.98155909995</v>
      </c>
    </row>
    <row r="116" spans="1:142" x14ac:dyDescent="0.25">
      <c r="A116" s="279" t="s">
        <v>1452</v>
      </c>
      <c r="B116" s="281">
        <v>3662.3760663054177</v>
      </c>
      <c r="C116" s="281">
        <v>391.82899114724205</v>
      </c>
      <c r="D116" s="281">
        <v>480.52079490350116</v>
      </c>
      <c r="E116" s="281">
        <v>4393.0382686078292</v>
      </c>
      <c r="F116" s="281">
        <v>11612.668366175927</v>
      </c>
      <c r="G116" s="281">
        <v>13276.679677409393</v>
      </c>
      <c r="H116" s="281">
        <v>1871.1294600775018</v>
      </c>
      <c r="I116" s="281">
        <v>123.47607448592635</v>
      </c>
      <c r="J116" s="281">
        <v>148.10331486119819</v>
      </c>
      <c r="K116" s="281">
        <v>3.2333032054068407E-2</v>
      </c>
      <c r="L116" s="281">
        <v>10160.505689394238</v>
      </c>
      <c r="M116" s="281">
        <v>2348.5742111963409</v>
      </c>
      <c r="N116" s="281">
        <v>1182.4007712573218</v>
      </c>
      <c r="O116" s="281">
        <v>1450.4096059772514</v>
      </c>
      <c r="P116" s="281">
        <v>300.21555309415845</v>
      </c>
      <c r="Q116" s="281">
        <v>371.34323913899226</v>
      </c>
      <c r="R116" s="281">
        <v>2380.1810236875012</v>
      </c>
      <c r="S116" s="281">
        <v>1622.6752816509947</v>
      </c>
      <c r="T116" s="281">
        <v>2278.3260266898005</v>
      </c>
      <c r="U116" s="281">
        <v>609.02158011041649</v>
      </c>
      <c r="V116" s="281">
        <v>3873.4286822575918</v>
      </c>
      <c r="W116" s="281">
        <v>4435.5250790410937</v>
      </c>
      <c r="X116" s="281">
        <v>1091.7747142520632</v>
      </c>
      <c r="Y116" s="281">
        <v>4129.7835335577502</v>
      </c>
      <c r="Z116" s="281">
        <v>1357.900651248706</v>
      </c>
      <c r="AA116" s="281">
        <v>1150.4879545254892</v>
      </c>
      <c r="AB116" s="281">
        <v>4437.650818406024</v>
      </c>
      <c r="AC116" s="281">
        <v>845.51025795881344</v>
      </c>
      <c r="AD116" s="281">
        <v>7056.1629469712561</v>
      </c>
      <c r="AE116" s="281">
        <v>3777.1254691134232</v>
      </c>
      <c r="AF116" s="281">
        <v>1344.5007336905694</v>
      </c>
      <c r="AG116" s="281">
        <v>383.81853776121642</v>
      </c>
      <c r="AH116" s="281">
        <v>4113.4443394227319</v>
      </c>
      <c r="AI116" s="281">
        <v>941.44403804086619</v>
      </c>
      <c r="AJ116" s="281">
        <v>1740.2310485421426</v>
      </c>
      <c r="AK116" s="281">
        <v>1483.5310344733182</v>
      </c>
      <c r="AL116" s="478">
        <v>2443.7872932143941</v>
      </c>
      <c r="AM116" s="281">
        <v>1397.5044060188457</v>
      </c>
      <c r="AN116" s="281">
        <v>12365.221428957344</v>
      </c>
      <c r="AO116" s="281">
        <v>47167.767918842612</v>
      </c>
      <c r="AP116" s="281">
        <v>3916.6480867925738</v>
      </c>
      <c r="AQ116" s="281">
        <v>31.532127035917494</v>
      </c>
      <c r="AR116" s="281">
        <v>474.97335884155223</v>
      </c>
      <c r="AS116" s="281">
        <v>3519.0724539738153</v>
      </c>
      <c r="AT116" s="281">
        <v>3586.8538577558998</v>
      </c>
      <c r="AU116" s="281">
        <v>11222.17428059267</v>
      </c>
      <c r="AV116" s="281">
        <v>3958.798314603534</v>
      </c>
      <c r="AW116" s="281">
        <v>31939.095485353981</v>
      </c>
      <c r="AX116" s="281">
        <v>22290.029352149733</v>
      </c>
      <c r="AY116" s="281">
        <v>100681.48876830139</v>
      </c>
      <c r="AZ116" s="281">
        <v>24549.167311864079</v>
      </c>
      <c r="BA116" s="281"/>
      <c r="BB116" s="281"/>
      <c r="BC116" s="281"/>
      <c r="BD116" s="281"/>
      <c r="BE116" s="281"/>
      <c r="BF116" s="281"/>
      <c r="BG116" s="281"/>
      <c r="BH116" s="281"/>
      <c r="BI116" s="281"/>
      <c r="BJ116" s="281"/>
      <c r="BK116" s="281"/>
      <c r="BL116" s="281"/>
      <c r="BM116" s="281"/>
      <c r="BN116" s="281"/>
      <c r="BO116" s="281"/>
      <c r="BP116" s="281"/>
      <c r="BQ116" s="281"/>
      <c r="BR116" s="281"/>
      <c r="BS116" s="281"/>
      <c r="BT116" s="281"/>
      <c r="BU116" s="281"/>
      <c r="BV116" s="281"/>
      <c r="BW116" s="281"/>
      <c r="BX116" s="281"/>
      <c r="BY116" s="281"/>
      <c r="BZ116" s="281"/>
      <c r="CA116" s="281"/>
      <c r="CB116" s="281"/>
      <c r="CC116" s="281"/>
      <c r="CD116" s="281"/>
      <c r="CE116" s="281"/>
      <c r="CF116" s="281"/>
      <c r="CG116" s="281"/>
      <c r="CH116" s="281"/>
      <c r="CI116" s="281"/>
      <c r="CJ116" s="281"/>
      <c r="CK116" s="281"/>
      <c r="CL116" s="281"/>
      <c r="CM116" s="281"/>
      <c r="CN116" s="281"/>
      <c r="CO116" s="281"/>
      <c r="CP116" s="281"/>
      <c r="CQ116" s="281"/>
      <c r="CR116" s="281"/>
      <c r="CS116" s="281"/>
      <c r="CT116" s="281"/>
      <c r="CU116" s="281"/>
      <c r="CV116" s="281"/>
      <c r="CW116" s="281"/>
      <c r="CX116" s="281"/>
      <c r="CY116" s="281"/>
      <c r="CZ116" s="281"/>
      <c r="DA116" s="281"/>
      <c r="DB116" s="281"/>
      <c r="DC116" s="281"/>
      <c r="DD116" s="281"/>
      <c r="DE116" s="281"/>
      <c r="DF116" s="281"/>
      <c r="DG116" s="281"/>
      <c r="DH116" s="281"/>
      <c r="DI116" s="281"/>
      <c r="DJ116" s="281"/>
      <c r="DK116" s="281"/>
      <c r="DL116" s="281"/>
      <c r="DM116" s="281"/>
      <c r="DN116" s="281"/>
      <c r="DO116" s="281"/>
      <c r="DP116" s="281"/>
      <c r="DQ116" s="281"/>
      <c r="DR116" s="281"/>
      <c r="DS116" s="281"/>
      <c r="DT116" s="281"/>
      <c r="DU116" s="281"/>
      <c r="DV116" s="281"/>
      <c r="DW116" s="281"/>
      <c r="DX116" s="281"/>
      <c r="DY116" s="281"/>
      <c r="DZ116" s="281"/>
      <c r="EA116" s="281"/>
      <c r="EB116" s="281"/>
      <c r="EC116" s="281"/>
      <c r="ED116" s="281"/>
      <c r="EE116" s="281"/>
      <c r="EF116" s="281"/>
      <c r="EG116" s="281"/>
      <c r="EH116" s="281"/>
      <c r="EI116" s="281"/>
      <c r="EJ116" s="281"/>
      <c r="EK116" s="281">
        <v>2235.5100727149988</v>
      </c>
      <c r="EL116" s="281">
        <v>372605.45068547945</v>
      </c>
    </row>
    <row r="117" spans="1:142" x14ac:dyDescent="0.25">
      <c r="A117" s="279" t="s">
        <v>1451</v>
      </c>
      <c r="B117" s="281">
        <v>6572.7754741416093</v>
      </c>
      <c r="C117" s="281">
        <v>618.26896196496102</v>
      </c>
      <c r="D117" s="281">
        <v>311.07943867258734</v>
      </c>
      <c r="E117" s="281">
        <v>10171.794272558243</v>
      </c>
      <c r="F117" s="281">
        <v>13987.432478524532</v>
      </c>
      <c r="G117" s="281">
        <v>22811.425238869211</v>
      </c>
      <c r="H117" s="281">
        <v>8437.6231925328066</v>
      </c>
      <c r="I117" s="281">
        <v>556.79984310770647</v>
      </c>
      <c r="J117" s="281">
        <v>667.85328916368769</v>
      </c>
      <c r="K117" s="281">
        <v>3.9351036250639571E-2</v>
      </c>
      <c r="L117" s="281">
        <v>18954.629991051817</v>
      </c>
      <c r="M117" s="281">
        <v>8562.0734642942462</v>
      </c>
      <c r="N117" s="281">
        <v>1689.1124171509116</v>
      </c>
      <c r="O117" s="281">
        <v>1953.0479458436789</v>
      </c>
      <c r="P117" s="281">
        <v>119.6562770862848</v>
      </c>
      <c r="Q117" s="281">
        <v>652.52561844930756</v>
      </c>
      <c r="R117" s="281">
        <v>2081.462046714727</v>
      </c>
      <c r="S117" s="281">
        <v>4948.5979276580674</v>
      </c>
      <c r="T117" s="281">
        <v>8721.7792902603032</v>
      </c>
      <c r="U117" s="281">
        <v>3414.6862954152284</v>
      </c>
      <c r="V117" s="281">
        <v>4714.1707042784556</v>
      </c>
      <c r="W117" s="281">
        <v>14245.563057809975</v>
      </c>
      <c r="X117" s="281">
        <v>1013.3409460983273</v>
      </c>
      <c r="Y117" s="281">
        <v>4355.89199123871</v>
      </c>
      <c r="Z117" s="281">
        <v>768.91775605971714</v>
      </c>
      <c r="AA117" s="281">
        <v>1928.1768211006274</v>
      </c>
      <c r="AB117" s="281">
        <v>4245.29876158144</v>
      </c>
      <c r="AC117" s="281">
        <v>2930.4211526692011</v>
      </c>
      <c r="AD117" s="281">
        <v>7836.8396470407524</v>
      </c>
      <c r="AE117" s="281">
        <v>11846.653645267492</v>
      </c>
      <c r="AF117" s="281">
        <v>2995.4441706576472</v>
      </c>
      <c r="AG117" s="281">
        <v>2553.1423345374033</v>
      </c>
      <c r="AH117" s="281">
        <v>13998.310800209123</v>
      </c>
      <c r="AI117" s="281">
        <v>2580.4442659900856</v>
      </c>
      <c r="AJ117" s="281">
        <v>759.09887765912686</v>
      </c>
      <c r="AK117" s="281">
        <v>2042.4070773363956</v>
      </c>
      <c r="AL117" s="478">
        <v>19860.749343305117</v>
      </c>
      <c r="AM117" s="281">
        <v>3563.3458223373395</v>
      </c>
      <c r="AN117" s="281">
        <v>19779.486936345242</v>
      </c>
      <c r="AO117" s="281">
        <v>81615.507913453403</v>
      </c>
      <c r="AP117" s="281">
        <v>4969.2440479347988</v>
      </c>
      <c r="AQ117" s="281">
        <v>64.843766864374444</v>
      </c>
      <c r="AR117" s="281">
        <v>1939.1786507475622</v>
      </c>
      <c r="AS117" s="281">
        <v>10336.287522332061</v>
      </c>
      <c r="AT117" s="281">
        <v>4773.6283381904886</v>
      </c>
      <c r="AU117" s="281">
        <v>14935.230507402322</v>
      </c>
      <c r="AV117" s="281">
        <v>18775.409348660101</v>
      </c>
      <c r="AW117" s="281">
        <v>103999.40586421493</v>
      </c>
      <c r="AX117" s="281">
        <v>65644.899162520378</v>
      </c>
      <c r="AY117" s="281">
        <v>288581.09492128185</v>
      </c>
      <c r="AZ117" s="281">
        <v>44783.102756428016</v>
      </c>
      <c r="BA117" s="281"/>
      <c r="BB117" s="281"/>
      <c r="BC117" s="281"/>
      <c r="BD117" s="281"/>
      <c r="BE117" s="281"/>
      <c r="BF117" s="281"/>
      <c r="BG117" s="281"/>
      <c r="BH117" s="281"/>
      <c r="BI117" s="281"/>
      <c r="BJ117" s="281"/>
      <c r="BK117" s="281"/>
      <c r="BL117" s="281"/>
      <c r="BM117" s="281"/>
      <c r="BN117" s="281"/>
      <c r="BO117" s="281"/>
      <c r="BP117" s="281"/>
      <c r="BQ117" s="281"/>
      <c r="BR117" s="281"/>
      <c r="BS117" s="281"/>
      <c r="BT117" s="281"/>
      <c r="BU117" s="281"/>
      <c r="BV117" s="281"/>
      <c r="BW117" s="281"/>
      <c r="BX117" s="281"/>
      <c r="BY117" s="281"/>
      <c r="BZ117" s="281"/>
      <c r="CA117" s="281"/>
      <c r="CB117" s="281"/>
      <c r="CC117" s="281"/>
      <c r="CD117" s="281"/>
      <c r="CE117" s="281"/>
      <c r="CF117" s="281"/>
      <c r="CG117" s="281"/>
      <c r="CH117" s="281"/>
      <c r="CI117" s="281"/>
      <c r="CJ117" s="281"/>
      <c r="CK117" s="281"/>
      <c r="CL117" s="281"/>
      <c r="CM117" s="281"/>
      <c r="CN117" s="281"/>
      <c r="CO117" s="281"/>
      <c r="CP117" s="281"/>
      <c r="CQ117" s="281"/>
      <c r="CR117" s="281"/>
      <c r="CS117" s="281"/>
      <c r="CT117" s="281"/>
      <c r="CU117" s="281"/>
      <c r="CV117" s="281"/>
      <c r="CW117" s="281"/>
      <c r="CX117" s="281"/>
      <c r="CY117" s="281"/>
      <c r="CZ117" s="281"/>
      <c r="DA117" s="281"/>
      <c r="DB117" s="281"/>
      <c r="DC117" s="281"/>
      <c r="DD117" s="281"/>
      <c r="DE117" s="281"/>
      <c r="DF117" s="281"/>
      <c r="DG117" s="281"/>
      <c r="DH117" s="281"/>
      <c r="DI117" s="281"/>
      <c r="DJ117" s="281"/>
      <c r="DK117" s="281"/>
      <c r="DL117" s="281"/>
      <c r="DM117" s="281"/>
      <c r="DN117" s="281"/>
      <c r="DO117" s="281"/>
      <c r="DP117" s="281"/>
      <c r="DQ117" s="281"/>
      <c r="DR117" s="281"/>
      <c r="DS117" s="281"/>
      <c r="DT117" s="281"/>
      <c r="DU117" s="281"/>
      <c r="DV117" s="281"/>
      <c r="DW117" s="281"/>
      <c r="DX117" s="281"/>
      <c r="DY117" s="281"/>
      <c r="DZ117" s="281"/>
      <c r="EA117" s="281"/>
      <c r="EB117" s="281"/>
      <c r="EC117" s="281"/>
      <c r="ED117" s="281"/>
      <c r="EE117" s="281"/>
      <c r="EF117" s="281"/>
      <c r="EG117" s="281"/>
      <c r="EH117" s="281"/>
      <c r="EI117" s="281"/>
      <c r="EJ117" s="281"/>
      <c r="EK117" s="281">
        <v>5297.5036196055762</v>
      </c>
      <c r="EL117" s="281">
        <v>882965.70334565418</v>
      </c>
    </row>
    <row r="118" spans="1:142" x14ac:dyDescent="0.25">
      <c r="A118" s="279" t="s">
        <v>1547</v>
      </c>
      <c r="B118" s="281">
        <v>41346.07000605519</v>
      </c>
      <c r="C118" s="281">
        <v>5148.7772996234144</v>
      </c>
      <c r="D118" s="281">
        <v>1792.7636274404445</v>
      </c>
      <c r="E118" s="281">
        <v>48932.262555883899</v>
      </c>
      <c r="F118" s="281">
        <v>16222.445084322033</v>
      </c>
      <c r="G118" s="281">
        <v>73823.157302075357</v>
      </c>
      <c r="H118" s="281">
        <v>19841.805083297219</v>
      </c>
      <c r="I118" s="281">
        <v>1309.3632774607488</v>
      </c>
      <c r="J118" s="281">
        <v>1570.515118469875</v>
      </c>
      <c r="K118" s="281">
        <v>4.3504316595844764E-2</v>
      </c>
      <c r="L118" s="281">
        <v>29397.222620938814</v>
      </c>
      <c r="M118" s="281">
        <v>15742.12062818839</v>
      </c>
      <c r="N118" s="281">
        <v>908.70484763668367</v>
      </c>
      <c r="O118" s="281">
        <v>108.10661571362202</v>
      </c>
      <c r="P118" s="281">
        <v>171.96043709355428</v>
      </c>
      <c r="Q118" s="281">
        <v>76.451916647957233</v>
      </c>
      <c r="R118" s="281">
        <v>8451.5835979530257</v>
      </c>
      <c r="S118" s="281">
        <v>10376.232955182761</v>
      </c>
      <c r="T118" s="281">
        <v>281.33186067809942</v>
      </c>
      <c r="U118" s="281">
        <v>23286.46521872513</v>
      </c>
      <c r="V118" s="281">
        <v>5211.7248831650049</v>
      </c>
      <c r="W118" s="281">
        <v>2789.7672487795917</v>
      </c>
      <c r="X118" s="281">
        <v>1042.6099410598783</v>
      </c>
      <c r="Y118" s="281">
        <v>603.87036159732611</v>
      </c>
      <c r="Z118" s="281">
        <v>366.41081268253276</v>
      </c>
      <c r="AA118" s="281">
        <v>6802.6866460981746</v>
      </c>
      <c r="AB118" s="281">
        <v>357.37401204565106</v>
      </c>
      <c r="AC118" s="281">
        <v>6037.0362097128846</v>
      </c>
      <c r="AD118" s="281">
        <v>3054.1229881371655</v>
      </c>
      <c r="AE118" s="281">
        <v>7378.9380754579297</v>
      </c>
      <c r="AF118" s="281">
        <v>156.41731131689627</v>
      </c>
      <c r="AG118" s="281">
        <v>1463.4649484582119</v>
      </c>
      <c r="AH118" s="281">
        <v>2677.9530053992062</v>
      </c>
      <c r="AI118" s="281">
        <v>364.30568014619928</v>
      </c>
      <c r="AJ118" s="281">
        <v>44.534696955623879</v>
      </c>
      <c r="AK118" s="281">
        <v>11871.384744953875</v>
      </c>
      <c r="AL118" s="281"/>
      <c r="AM118" s="281">
        <v>15504.447770233704</v>
      </c>
      <c r="AN118" s="281">
        <v>47268.441629700552</v>
      </c>
      <c r="AO118" s="281">
        <v>164570.03147943458</v>
      </c>
      <c r="AP118" s="281">
        <v>14452.117831240445</v>
      </c>
      <c r="AQ118" s="281">
        <v>1038.6533315829258</v>
      </c>
      <c r="AR118" s="281">
        <v>8764.8880525972872</v>
      </c>
      <c r="AS118" s="281">
        <v>16711.10195777093</v>
      </c>
      <c r="AT118" s="281">
        <v>26956.163282907062</v>
      </c>
      <c r="AU118" s="281">
        <v>84337.632447104552</v>
      </c>
      <c r="AV118" s="281">
        <v>41934.01382813845</v>
      </c>
      <c r="AW118" s="281">
        <v>138835.47166011587</v>
      </c>
      <c r="AX118" s="281">
        <v>184184.53731183981</v>
      </c>
      <c r="AY118" s="281">
        <v>60407.297048494387</v>
      </c>
      <c r="AZ118" s="281">
        <v>204685.42625209218</v>
      </c>
      <c r="BA118" s="281"/>
      <c r="BB118" s="281"/>
      <c r="BC118" s="281"/>
      <c r="BD118" s="281"/>
      <c r="BE118" s="281"/>
      <c r="BF118" s="281"/>
      <c r="BG118" s="281"/>
      <c r="BH118" s="281"/>
      <c r="BI118" s="281"/>
      <c r="BJ118" s="281"/>
      <c r="BK118" s="281"/>
      <c r="BL118" s="281"/>
      <c r="BM118" s="281"/>
      <c r="BN118" s="281"/>
      <c r="BO118" s="281"/>
      <c r="BP118" s="281"/>
      <c r="BQ118" s="281"/>
      <c r="BR118" s="281"/>
      <c r="BS118" s="281"/>
      <c r="BT118" s="281"/>
      <c r="BU118" s="281"/>
      <c r="BV118" s="281"/>
      <c r="BW118" s="281"/>
      <c r="BX118" s="281"/>
      <c r="BY118" s="281"/>
      <c r="BZ118" s="281"/>
      <c r="CA118" s="281"/>
      <c r="CB118" s="281"/>
      <c r="CC118" s="281"/>
      <c r="CD118" s="281"/>
      <c r="CE118" s="281"/>
      <c r="CF118" s="281"/>
      <c r="CG118" s="281"/>
      <c r="CH118" s="281"/>
      <c r="CI118" s="281"/>
      <c r="CJ118" s="281"/>
      <c r="CK118" s="281"/>
      <c r="CL118" s="281"/>
      <c r="CM118" s="281"/>
      <c r="CN118" s="281"/>
      <c r="CO118" s="281"/>
      <c r="CP118" s="281"/>
      <c r="CQ118" s="281"/>
      <c r="CR118" s="281"/>
      <c r="CS118" s="281"/>
      <c r="CT118" s="281"/>
      <c r="CU118" s="281"/>
      <c r="CV118" s="281"/>
      <c r="CW118" s="281"/>
      <c r="CX118" s="281"/>
      <c r="CY118" s="281"/>
      <c r="CZ118" s="281"/>
      <c r="DA118" s="281"/>
      <c r="DB118" s="281"/>
      <c r="DC118" s="281"/>
      <c r="DD118" s="281"/>
      <c r="DE118" s="281"/>
      <c r="DF118" s="281"/>
      <c r="DG118" s="281"/>
      <c r="DH118" s="281"/>
      <c r="DI118" s="281"/>
      <c r="DJ118" s="281"/>
      <c r="DK118" s="281"/>
      <c r="DL118" s="281"/>
      <c r="DM118" s="281"/>
      <c r="DN118" s="281"/>
      <c r="DO118" s="281"/>
      <c r="DP118" s="281"/>
      <c r="DQ118" s="281"/>
      <c r="DR118" s="281"/>
      <c r="DS118" s="281"/>
      <c r="DT118" s="281"/>
      <c r="DU118" s="281"/>
      <c r="DV118" s="281"/>
      <c r="DW118" s="281"/>
      <c r="DX118" s="281"/>
      <c r="DY118" s="281"/>
      <c r="DZ118" s="281"/>
      <c r="EA118" s="281"/>
      <c r="EB118" s="281"/>
      <c r="EC118" s="281"/>
      <c r="ED118" s="281"/>
      <c r="EE118" s="281"/>
      <c r="EF118" s="281"/>
      <c r="EG118" s="281"/>
      <c r="EH118" s="281"/>
      <c r="EI118" s="281"/>
      <c r="EJ118" s="281"/>
      <c r="EK118" s="281">
        <v>39604.999999994761</v>
      </c>
      <c r="EL118" s="281">
        <v>1398265.2090069167</v>
      </c>
    </row>
    <row r="119" spans="1:142" x14ac:dyDescent="0.25">
      <c r="A119" s="279" t="s">
        <v>1546</v>
      </c>
      <c r="B119" s="281"/>
      <c r="C119" s="281"/>
      <c r="D119" s="281"/>
      <c r="E119" s="281"/>
      <c r="F119" s="281"/>
      <c r="G119" s="281"/>
      <c r="H119" s="281"/>
      <c r="I119" s="281"/>
      <c r="J119" s="281"/>
      <c r="K119" s="281"/>
      <c r="L119" s="281"/>
      <c r="M119" s="281"/>
      <c r="N119" s="281"/>
      <c r="O119" s="281"/>
      <c r="P119" s="281"/>
      <c r="Q119" s="281"/>
      <c r="R119" s="281"/>
      <c r="S119" s="281"/>
      <c r="T119" s="281"/>
      <c r="U119" s="281"/>
      <c r="V119" s="281"/>
      <c r="W119" s="281"/>
      <c r="X119" s="281"/>
      <c r="Y119" s="281"/>
      <c r="Z119" s="281"/>
      <c r="AA119" s="281"/>
      <c r="AB119" s="281"/>
      <c r="AC119" s="281"/>
      <c r="AD119" s="281"/>
      <c r="AE119" s="281"/>
      <c r="AF119" s="281"/>
      <c r="AG119" s="281"/>
      <c r="AH119" s="281"/>
      <c r="AI119" s="281"/>
      <c r="AJ119" s="281"/>
      <c r="AK119" s="281"/>
      <c r="AL119" s="281">
        <v>61052.790993083603</v>
      </c>
      <c r="AM119" s="281"/>
      <c r="AN119" s="281"/>
      <c r="AO119" s="281"/>
      <c r="AP119" s="281"/>
      <c r="AQ119" s="281"/>
      <c r="AR119" s="281"/>
      <c r="AS119" s="281"/>
      <c r="AT119" s="281"/>
      <c r="AU119" s="281"/>
      <c r="AV119" s="281"/>
      <c r="AW119" s="281"/>
      <c r="AX119" s="281"/>
      <c r="AY119" s="281"/>
      <c r="AZ119" s="281"/>
      <c r="BA119" s="281"/>
      <c r="BB119" s="281"/>
      <c r="BC119" s="281"/>
      <c r="BD119" s="281"/>
      <c r="BE119" s="281"/>
      <c r="BF119" s="281"/>
      <c r="BG119" s="281"/>
      <c r="BH119" s="281"/>
      <c r="BI119" s="281"/>
      <c r="BJ119" s="281"/>
      <c r="BK119" s="281"/>
      <c r="BL119" s="281"/>
      <c r="BM119" s="281"/>
      <c r="BN119" s="281"/>
      <c r="BO119" s="281"/>
      <c r="BP119" s="281"/>
      <c r="BQ119" s="281"/>
      <c r="BR119" s="281"/>
      <c r="BS119" s="281"/>
      <c r="BT119" s="281"/>
      <c r="BU119" s="281"/>
      <c r="BV119" s="281"/>
      <c r="BW119" s="281"/>
      <c r="BX119" s="281"/>
      <c r="BY119" s="281"/>
      <c r="BZ119" s="281"/>
      <c r="CA119" s="281"/>
      <c r="CB119" s="281"/>
      <c r="CC119" s="281"/>
      <c r="CD119" s="281"/>
      <c r="CE119" s="281"/>
      <c r="CF119" s="281"/>
      <c r="CG119" s="281"/>
      <c r="CH119" s="281"/>
      <c r="CI119" s="281"/>
      <c r="CJ119" s="281"/>
      <c r="CK119" s="281"/>
      <c r="CL119" s="281"/>
      <c r="CM119" s="281"/>
      <c r="CN119" s="281"/>
      <c r="CO119" s="281"/>
      <c r="CP119" s="281"/>
      <c r="CQ119" s="281"/>
      <c r="CR119" s="281"/>
      <c r="CS119" s="281"/>
      <c r="CT119" s="281"/>
      <c r="CU119" s="281"/>
      <c r="CV119" s="281"/>
      <c r="CW119" s="281"/>
      <c r="CX119" s="281"/>
      <c r="CY119" s="281"/>
      <c r="CZ119" s="281"/>
      <c r="DA119" s="281"/>
      <c r="DB119" s="281"/>
      <c r="DC119" s="281"/>
      <c r="DD119" s="281"/>
      <c r="DE119" s="281"/>
      <c r="DF119" s="281"/>
      <c r="DG119" s="281"/>
      <c r="DH119" s="281"/>
      <c r="DI119" s="281"/>
      <c r="DJ119" s="281"/>
      <c r="DK119" s="281"/>
      <c r="DL119" s="281"/>
      <c r="DM119" s="281"/>
      <c r="DN119" s="281"/>
      <c r="DO119" s="281"/>
      <c r="DP119" s="281"/>
      <c r="DQ119" s="281"/>
      <c r="DR119" s="281"/>
      <c r="DS119" s="281"/>
      <c r="DT119" s="281"/>
      <c r="DU119" s="281"/>
      <c r="DV119" s="281"/>
      <c r="DW119" s="281"/>
      <c r="DX119" s="281"/>
      <c r="DY119" s="281"/>
      <c r="DZ119" s="281"/>
      <c r="EA119" s="281"/>
      <c r="EB119" s="281"/>
      <c r="EC119" s="281"/>
      <c r="ED119" s="281"/>
      <c r="EE119" s="281"/>
      <c r="EF119" s="281"/>
      <c r="EG119" s="281"/>
      <c r="EH119" s="281"/>
      <c r="EI119" s="281"/>
      <c r="EJ119" s="281"/>
      <c r="EK119" s="281"/>
      <c r="EL119" s="281">
        <v>61052.790993083603</v>
      </c>
    </row>
    <row r="120" spans="1:142" x14ac:dyDescent="0.25">
      <c r="A120" s="279" t="s">
        <v>1545</v>
      </c>
      <c r="B120" s="281"/>
      <c r="C120" s="281"/>
      <c r="D120" s="281"/>
      <c r="E120" s="281"/>
      <c r="F120" s="281"/>
      <c r="G120" s="281"/>
      <c r="H120" s="281"/>
      <c r="I120" s="281"/>
      <c r="J120" s="281"/>
      <c r="K120" s="281"/>
      <c r="L120" s="281"/>
      <c r="M120" s="281"/>
      <c r="N120" s="281"/>
      <c r="O120" s="281"/>
      <c r="P120" s="281"/>
      <c r="Q120" s="281"/>
      <c r="R120" s="281"/>
      <c r="S120" s="281"/>
      <c r="T120" s="281"/>
      <c r="U120" s="281"/>
      <c r="V120" s="281"/>
      <c r="W120" s="281"/>
      <c r="X120" s="281"/>
      <c r="Y120" s="281"/>
      <c r="Z120" s="281"/>
      <c r="AA120" s="281"/>
      <c r="AB120" s="281"/>
      <c r="AC120" s="281"/>
      <c r="AD120" s="281"/>
      <c r="AE120" s="281"/>
      <c r="AF120" s="281"/>
      <c r="AG120" s="281"/>
      <c r="AH120" s="281"/>
      <c r="AI120" s="281"/>
      <c r="AJ120" s="281"/>
      <c r="AK120" s="281"/>
      <c r="AL120" s="281"/>
      <c r="AM120" s="281"/>
      <c r="AN120" s="281"/>
      <c r="AO120" s="281"/>
      <c r="AP120" s="281"/>
      <c r="AQ120" s="281"/>
      <c r="AR120" s="281"/>
      <c r="AS120" s="281"/>
      <c r="AT120" s="281"/>
      <c r="AU120" s="281"/>
      <c r="AV120" s="281"/>
      <c r="AW120" s="281"/>
      <c r="AX120" s="281"/>
      <c r="AY120" s="281"/>
      <c r="AZ120" s="281"/>
      <c r="BA120" s="281"/>
      <c r="BB120" s="281"/>
      <c r="BC120" s="281"/>
      <c r="BD120" s="281"/>
      <c r="BE120" s="281"/>
      <c r="BF120" s="281"/>
      <c r="BG120" s="281"/>
      <c r="BH120" s="281"/>
      <c r="BI120" s="281"/>
      <c r="BJ120" s="281"/>
      <c r="BK120" s="281"/>
      <c r="BL120" s="281"/>
      <c r="BM120" s="281"/>
      <c r="BN120" s="281"/>
      <c r="BO120" s="281"/>
      <c r="BP120" s="281"/>
      <c r="BQ120" s="281"/>
      <c r="BR120" s="281"/>
      <c r="BS120" s="281"/>
      <c r="BT120" s="281"/>
      <c r="BU120" s="281"/>
      <c r="BV120" s="281"/>
      <c r="BW120" s="281"/>
      <c r="BX120" s="281"/>
      <c r="BY120" s="281"/>
      <c r="BZ120" s="281"/>
      <c r="CA120" s="281"/>
      <c r="CB120" s="281"/>
      <c r="CC120" s="281"/>
      <c r="CD120" s="281"/>
      <c r="CE120" s="281"/>
      <c r="CF120" s="281"/>
      <c r="CG120" s="281"/>
      <c r="CH120" s="281"/>
      <c r="CI120" s="281"/>
      <c r="CJ120" s="281"/>
      <c r="CK120" s="281"/>
      <c r="CL120" s="281"/>
      <c r="CM120" s="281"/>
      <c r="CN120" s="281"/>
      <c r="CO120" s="281"/>
      <c r="CP120" s="281"/>
      <c r="CQ120" s="281"/>
      <c r="CR120" s="281"/>
      <c r="CS120" s="281"/>
      <c r="CT120" s="281"/>
      <c r="CU120" s="281"/>
      <c r="CV120" s="281"/>
      <c r="CW120" s="281"/>
      <c r="CX120" s="281"/>
      <c r="CY120" s="281"/>
      <c r="CZ120" s="281"/>
      <c r="DA120" s="281"/>
      <c r="DB120" s="281"/>
      <c r="DC120" s="281"/>
      <c r="DD120" s="281"/>
      <c r="DE120" s="281"/>
      <c r="DF120" s="281"/>
      <c r="DG120" s="281"/>
      <c r="DH120" s="281">
        <v>781770.59755602933</v>
      </c>
      <c r="DI120" s="281"/>
      <c r="DJ120" s="281">
        <v>231393</v>
      </c>
      <c r="DK120" s="281"/>
      <c r="DL120" s="281">
        <v>2.4166042336183455</v>
      </c>
      <c r="DM120" s="281">
        <v>55.520065929469254</v>
      </c>
      <c r="DN120" s="281">
        <v>351.85427131912547</v>
      </c>
      <c r="DO120" s="281">
        <v>692.11010806595527</v>
      </c>
      <c r="DP120" s="281">
        <v>2518.0896928702223</v>
      </c>
      <c r="DQ120" s="281">
        <v>3882.3294823550136</v>
      </c>
      <c r="DR120" s="281">
        <v>8701.0903384874418</v>
      </c>
      <c r="DS120" s="281">
        <v>22471.278779701821</v>
      </c>
      <c r="DT120" s="281">
        <v>59735.510656490915</v>
      </c>
      <c r="DU120" s="281">
        <v>23474.992900512665</v>
      </c>
      <c r="DV120" s="281">
        <v>28032.994143993445</v>
      </c>
      <c r="DW120" s="281">
        <v>28412.283300055249</v>
      </c>
      <c r="DX120" s="281">
        <v>26260.317764839503</v>
      </c>
      <c r="DY120" s="281">
        <v>48368.211891145591</v>
      </c>
      <c r="DZ120" s="281">
        <v>286816.00000000006</v>
      </c>
      <c r="EA120" s="281"/>
      <c r="EB120" s="281"/>
      <c r="EC120" s="281"/>
      <c r="ED120" s="281"/>
      <c r="EE120" s="281"/>
      <c r="EF120" s="281">
        <v>2.5011104298755527E-12</v>
      </c>
      <c r="EG120" s="281">
        <v>-9.6633812063373625E-13</v>
      </c>
      <c r="EH120" s="281"/>
      <c r="EI120" s="281"/>
      <c r="EJ120" s="281"/>
      <c r="EK120" s="281"/>
      <c r="EL120" s="281">
        <v>1552938.5975560294</v>
      </c>
    </row>
    <row r="121" spans="1:142" x14ac:dyDescent="0.25">
      <c r="A121" s="279" t="s">
        <v>1544</v>
      </c>
      <c r="B121" s="281"/>
      <c r="C121" s="281"/>
      <c r="D121" s="281"/>
      <c r="E121" s="281"/>
      <c r="F121" s="281"/>
      <c r="G121" s="281"/>
      <c r="H121" s="281"/>
      <c r="I121" s="281"/>
      <c r="J121" s="281"/>
      <c r="K121" s="281"/>
      <c r="L121" s="281"/>
      <c r="M121" s="281"/>
      <c r="N121" s="281"/>
      <c r="O121" s="281"/>
      <c r="P121" s="281"/>
      <c r="Q121" s="281"/>
      <c r="R121" s="281"/>
      <c r="S121" s="281"/>
      <c r="T121" s="281"/>
      <c r="U121" s="281"/>
      <c r="V121" s="281"/>
      <c r="W121" s="281"/>
      <c r="X121" s="281"/>
      <c r="Y121" s="281"/>
      <c r="Z121" s="281"/>
      <c r="AA121" s="281"/>
      <c r="AB121" s="281"/>
      <c r="AC121" s="281"/>
      <c r="AD121" s="281"/>
      <c r="AE121" s="281"/>
      <c r="AF121" s="281"/>
      <c r="AG121" s="281"/>
      <c r="AH121" s="281"/>
      <c r="AI121" s="281"/>
      <c r="AJ121" s="281"/>
      <c r="AK121" s="281"/>
      <c r="AL121" s="281"/>
      <c r="AM121" s="281"/>
      <c r="AN121" s="281"/>
      <c r="AO121" s="281"/>
      <c r="AP121" s="281"/>
      <c r="AQ121" s="281"/>
      <c r="AR121" s="281"/>
      <c r="AS121" s="281"/>
      <c r="AT121" s="281"/>
      <c r="AU121" s="281"/>
      <c r="AV121" s="281"/>
      <c r="AW121" s="281"/>
      <c r="AX121" s="281"/>
      <c r="AY121" s="281"/>
      <c r="AZ121" s="281"/>
      <c r="BA121" s="281"/>
      <c r="BB121" s="281"/>
      <c r="BC121" s="281"/>
      <c r="BD121" s="281"/>
      <c r="BE121" s="281"/>
      <c r="BF121" s="281"/>
      <c r="BG121" s="281"/>
      <c r="BH121" s="281"/>
      <c r="BI121" s="281"/>
      <c r="BJ121" s="281"/>
      <c r="BK121" s="281"/>
      <c r="BL121" s="281"/>
      <c r="BM121" s="281"/>
      <c r="BN121" s="281"/>
      <c r="BO121" s="281"/>
      <c r="BP121" s="281"/>
      <c r="BQ121" s="281"/>
      <c r="BR121" s="281"/>
      <c r="BS121" s="281"/>
      <c r="BT121" s="281"/>
      <c r="BU121" s="281"/>
      <c r="BV121" s="281"/>
      <c r="BW121" s="281"/>
      <c r="BX121" s="281"/>
      <c r="BY121" s="281"/>
      <c r="BZ121" s="281"/>
      <c r="CA121" s="281"/>
      <c r="CB121" s="281"/>
      <c r="CC121" s="281"/>
      <c r="CD121" s="281"/>
      <c r="CE121" s="281"/>
      <c r="CF121" s="281"/>
      <c r="CG121" s="281"/>
      <c r="CH121" s="281"/>
      <c r="CI121" s="281"/>
      <c r="CJ121" s="281"/>
      <c r="CK121" s="281"/>
      <c r="CL121" s="281"/>
      <c r="CM121" s="281"/>
      <c r="CN121" s="281"/>
      <c r="CO121" s="281"/>
      <c r="CP121" s="281"/>
      <c r="CQ121" s="281"/>
      <c r="CR121" s="281"/>
      <c r="CS121" s="281"/>
      <c r="CT121" s="281"/>
      <c r="CU121" s="281"/>
      <c r="CV121" s="281"/>
      <c r="CW121" s="281"/>
      <c r="CX121" s="281"/>
      <c r="CY121" s="281"/>
      <c r="CZ121" s="281"/>
      <c r="DA121" s="281"/>
      <c r="DB121" s="281"/>
      <c r="DC121" s="281"/>
      <c r="DD121" s="281"/>
      <c r="DE121" s="281"/>
      <c r="DF121" s="281"/>
      <c r="DG121" s="281"/>
      <c r="DH121" s="281"/>
      <c r="DI121" s="281">
        <v>61052.790993083603</v>
      </c>
      <c r="DJ121" s="281"/>
      <c r="DK121" s="281"/>
      <c r="DL121" s="281"/>
      <c r="DM121" s="281"/>
      <c r="DN121" s="281"/>
      <c r="DO121" s="281"/>
      <c r="DP121" s="281"/>
      <c r="DQ121" s="281"/>
      <c r="DR121" s="281"/>
      <c r="DS121" s="281"/>
      <c r="DT121" s="281"/>
      <c r="DU121" s="281"/>
      <c r="DV121" s="281"/>
      <c r="DW121" s="281"/>
      <c r="DX121" s="281"/>
      <c r="DY121" s="281"/>
      <c r="DZ121" s="281"/>
      <c r="EA121" s="281"/>
      <c r="EB121" s="281"/>
      <c r="EC121" s="281"/>
      <c r="ED121" s="281"/>
      <c r="EE121" s="281">
        <v>-4.5474735088646412E-13</v>
      </c>
      <c r="EF121" s="281"/>
      <c r="EG121" s="281"/>
      <c r="EH121" s="281"/>
      <c r="EI121" s="281"/>
      <c r="EJ121" s="281"/>
      <c r="EK121" s="281"/>
      <c r="EL121" s="281">
        <v>61052.790993083603</v>
      </c>
    </row>
    <row r="122" spans="1:142" x14ac:dyDescent="0.25">
      <c r="A122" s="279" t="s">
        <v>1543</v>
      </c>
      <c r="B122" s="281"/>
      <c r="C122" s="281"/>
      <c r="D122" s="281"/>
      <c r="E122" s="281"/>
      <c r="F122" s="281"/>
      <c r="G122" s="281"/>
      <c r="H122" s="281"/>
      <c r="I122" s="281"/>
      <c r="J122" s="281"/>
      <c r="K122" s="281"/>
      <c r="L122" s="281"/>
      <c r="M122" s="281"/>
      <c r="N122" s="281"/>
      <c r="O122" s="281"/>
      <c r="P122" s="281"/>
      <c r="Q122" s="281"/>
      <c r="R122" s="281"/>
      <c r="S122" s="281"/>
      <c r="T122" s="281"/>
      <c r="U122" s="281"/>
      <c r="V122" s="281"/>
      <c r="W122" s="281"/>
      <c r="X122" s="281"/>
      <c r="Y122" s="281"/>
      <c r="Z122" s="281"/>
      <c r="AA122" s="281"/>
      <c r="AB122" s="281"/>
      <c r="AC122" s="281"/>
      <c r="AD122" s="281"/>
      <c r="AE122" s="281"/>
      <c r="AF122" s="281"/>
      <c r="AG122" s="281"/>
      <c r="AH122" s="281"/>
      <c r="AI122" s="281"/>
      <c r="AJ122" s="281"/>
      <c r="AK122" s="281"/>
      <c r="AL122" s="281"/>
      <c r="AM122" s="281"/>
      <c r="AN122" s="281"/>
      <c r="AO122" s="281"/>
      <c r="AP122" s="281"/>
      <c r="AQ122" s="281"/>
      <c r="AR122" s="281"/>
      <c r="AS122" s="281"/>
      <c r="AT122" s="281"/>
      <c r="AU122" s="281"/>
      <c r="AV122" s="281"/>
      <c r="AW122" s="281"/>
      <c r="AX122" s="281"/>
      <c r="AY122" s="281"/>
      <c r="AZ122" s="281"/>
      <c r="BA122" s="281"/>
      <c r="BB122" s="281"/>
      <c r="BC122" s="281"/>
      <c r="BD122" s="281"/>
      <c r="BE122" s="281"/>
      <c r="BF122" s="281"/>
      <c r="BG122" s="281"/>
      <c r="BH122" s="281"/>
      <c r="BI122" s="281"/>
      <c r="BJ122" s="281"/>
      <c r="BK122" s="281"/>
      <c r="BL122" s="281"/>
      <c r="BM122" s="281"/>
      <c r="BN122" s="281"/>
      <c r="BO122" s="281"/>
      <c r="BP122" s="281"/>
      <c r="BQ122" s="281"/>
      <c r="BR122" s="281"/>
      <c r="BS122" s="281"/>
      <c r="BT122" s="281"/>
      <c r="BU122" s="281"/>
      <c r="BV122" s="281"/>
      <c r="BW122" s="281"/>
      <c r="BX122" s="281"/>
      <c r="BY122" s="281"/>
      <c r="BZ122" s="281"/>
      <c r="CA122" s="281"/>
      <c r="CB122" s="281"/>
      <c r="CC122" s="281"/>
      <c r="CD122" s="281"/>
      <c r="CE122" s="281"/>
      <c r="CF122" s="281"/>
      <c r="CG122" s="281"/>
      <c r="CH122" s="281"/>
      <c r="CI122" s="281"/>
      <c r="CJ122" s="281"/>
      <c r="CK122" s="281"/>
      <c r="CL122" s="281"/>
      <c r="CM122" s="281"/>
      <c r="CN122" s="281"/>
      <c r="CO122" s="281"/>
      <c r="CP122" s="281"/>
      <c r="CQ122" s="281"/>
      <c r="CR122" s="281"/>
      <c r="CS122" s="281"/>
      <c r="CT122" s="281"/>
      <c r="CU122" s="281"/>
      <c r="CV122" s="281"/>
      <c r="CW122" s="281"/>
      <c r="CX122" s="281"/>
      <c r="CY122" s="281"/>
      <c r="CZ122" s="281"/>
      <c r="DA122" s="281"/>
      <c r="DB122" s="281"/>
      <c r="DC122" s="281"/>
      <c r="DD122" s="281">
        <v>6721.7424946790625</v>
      </c>
      <c r="DE122" s="281">
        <v>4888.762128471436</v>
      </c>
      <c r="DF122" s="281">
        <v>2337.9643586155189</v>
      </c>
      <c r="DG122" s="281">
        <v>406.67472750048199</v>
      </c>
      <c r="DH122" s="281">
        <v>824.03257485013626</v>
      </c>
      <c r="DI122" s="281"/>
      <c r="DJ122" s="281">
        <v>503.88448209600944</v>
      </c>
      <c r="DK122" s="281"/>
      <c r="DL122" s="281"/>
      <c r="DM122" s="281"/>
      <c r="DN122" s="281"/>
      <c r="DO122" s="281"/>
      <c r="DP122" s="281"/>
      <c r="DQ122" s="281"/>
      <c r="DR122" s="281"/>
      <c r="DS122" s="281"/>
      <c r="DT122" s="281"/>
      <c r="DU122" s="281"/>
      <c r="DV122" s="281"/>
      <c r="DW122" s="281"/>
      <c r="DX122" s="281"/>
      <c r="DY122" s="281"/>
      <c r="DZ122" s="281">
        <v>28389.73060675446</v>
      </c>
      <c r="EA122" s="281"/>
      <c r="EB122" s="281"/>
      <c r="EC122" s="281"/>
      <c r="ED122" s="281"/>
      <c r="EE122" s="281"/>
      <c r="EF122" s="281"/>
      <c r="EG122" s="281"/>
      <c r="EH122" s="281"/>
      <c r="EI122" s="281"/>
      <c r="EJ122" s="281"/>
      <c r="EK122" s="281">
        <v>11.564585936616515</v>
      </c>
      <c r="EL122" s="281">
        <v>44084.355958903725</v>
      </c>
    </row>
    <row r="123" spans="1:142" x14ac:dyDescent="0.25">
      <c r="A123" s="279" t="s">
        <v>1542</v>
      </c>
      <c r="B123" s="281"/>
      <c r="C123" s="281"/>
      <c r="D123" s="281"/>
      <c r="E123" s="281"/>
      <c r="F123" s="281"/>
      <c r="G123" s="281"/>
      <c r="H123" s="281"/>
      <c r="I123" s="281"/>
      <c r="J123" s="281"/>
      <c r="K123" s="281"/>
      <c r="L123" s="281"/>
      <c r="M123" s="281"/>
      <c r="N123" s="281"/>
      <c r="O123" s="281"/>
      <c r="P123" s="281"/>
      <c r="Q123" s="281"/>
      <c r="R123" s="281"/>
      <c r="S123" s="281"/>
      <c r="T123" s="281"/>
      <c r="U123" s="281"/>
      <c r="V123" s="281"/>
      <c r="W123" s="281"/>
      <c r="X123" s="281"/>
      <c r="Y123" s="281"/>
      <c r="Z123" s="281"/>
      <c r="AA123" s="281"/>
      <c r="AB123" s="281"/>
      <c r="AC123" s="281"/>
      <c r="AD123" s="281"/>
      <c r="AE123" s="281"/>
      <c r="AF123" s="281"/>
      <c r="AG123" s="281"/>
      <c r="AH123" s="281"/>
      <c r="AI123" s="281"/>
      <c r="AJ123" s="281"/>
      <c r="AK123" s="281"/>
      <c r="AL123" s="281"/>
      <c r="AM123" s="281"/>
      <c r="AN123" s="281"/>
      <c r="AO123" s="281"/>
      <c r="AP123" s="281"/>
      <c r="AQ123" s="281"/>
      <c r="AR123" s="281"/>
      <c r="AS123" s="281"/>
      <c r="AT123" s="281"/>
      <c r="AU123" s="281"/>
      <c r="AV123" s="281"/>
      <c r="AW123" s="281"/>
      <c r="AX123" s="281"/>
      <c r="AY123" s="281"/>
      <c r="AZ123" s="281"/>
      <c r="BA123" s="281"/>
      <c r="BB123" s="281"/>
      <c r="BC123" s="281"/>
      <c r="BD123" s="281"/>
      <c r="BE123" s="281"/>
      <c r="BF123" s="281"/>
      <c r="BG123" s="281"/>
      <c r="BH123" s="281"/>
      <c r="BI123" s="281"/>
      <c r="BJ123" s="281"/>
      <c r="BK123" s="281"/>
      <c r="BL123" s="281"/>
      <c r="BM123" s="281"/>
      <c r="BN123" s="281"/>
      <c r="BO123" s="281"/>
      <c r="BP123" s="281"/>
      <c r="BQ123" s="281"/>
      <c r="BR123" s="281"/>
      <c r="BS123" s="281"/>
      <c r="BT123" s="281"/>
      <c r="BU123" s="281"/>
      <c r="BV123" s="281"/>
      <c r="BW123" s="281"/>
      <c r="BX123" s="281"/>
      <c r="BY123" s="281"/>
      <c r="BZ123" s="281"/>
      <c r="CA123" s="281"/>
      <c r="CB123" s="281"/>
      <c r="CC123" s="281"/>
      <c r="CD123" s="281"/>
      <c r="CE123" s="281"/>
      <c r="CF123" s="281"/>
      <c r="CG123" s="281"/>
      <c r="CH123" s="281"/>
      <c r="CI123" s="281"/>
      <c r="CJ123" s="281"/>
      <c r="CK123" s="281"/>
      <c r="CL123" s="281"/>
      <c r="CM123" s="281"/>
      <c r="CN123" s="281"/>
      <c r="CO123" s="281"/>
      <c r="CP123" s="281"/>
      <c r="CQ123" s="281"/>
      <c r="CR123" s="281"/>
      <c r="CS123" s="281"/>
      <c r="CT123" s="281"/>
      <c r="CU123" s="281"/>
      <c r="CV123" s="281"/>
      <c r="CW123" s="281"/>
      <c r="CX123" s="281"/>
      <c r="CY123" s="281"/>
      <c r="CZ123" s="281"/>
      <c r="DA123" s="281"/>
      <c r="DB123" s="281"/>
      <c r="DC123" s="281"/>
      <c r="DD123" s="281">
        <v>9593.8801503583418</v>
      </c>
      <c r="DE123" s="281">
        <v>6111.331533205338</v>
      </c>
      <c r="DF123" s="281">
        <v>4437.8584642129163</v>
      </c>
      <c r="DG123" s="281">
        <v>1648.3934134634189</v>
      </c>
      <c r="DH123" s="281">
        <v>1421.4241807665242</v>
      </c>
      <c r="DI123" s="281"/>
      <c r="DJ123" s="281">
        <v>774.15781586337209</v>
      </c>
      <c r="DK123" s="281"/>
      <c r="DL123" s="281"/>
      <c r="DM123" s="281"/>
      <c r="DN123" s="281"/>
      <c r="DO123" s="281"/>
      <c r="DP123" s="281"/>
      <c r="DQ123" s="281"/>
      <c r="DR123" s="281"/>
      <c r="DS123" s="281"/>
      <c r="DT123" s="281"/>
      <c r="DU123" s="281"/>
      <c r="DV123" s="281"/>
      <c r="DW123" s="281"/>
      <c r="DX123" s="281"/>
      <c r="DY123" s="281"/>
      <c r="DZ123" s="281">
        <v>36663.950171325858</v>
      </c>
      <c r="EA123" s="281"/>
      <c r="EB123" s="281"/>
      <c r="EC123" s="281"/>
      <c r="ED123" s="281"/>
      <c r="EE123" s="281"/>
      <c r="EF123" s="281"/>
      <c r="EG123" s="281"/>
      <c r="EH123" s="281"/>
      <c r="EI123" s="281"/>
      <c r="EJ123" s="281"/>
      <c r="EK123" s="281">
        <v>25.04202258777493</v>
      </c>
      <c r="EL123" s="281">
        <v>60676.037751783544</v>
      </c>
    </row>
    <row r="124" spans="1:142" x14ac:dyDescent="0.25">
      <c r="A124" s="279" t="s">
        <v>1541</v>
      </c>
      <c r="B124" s="281"/>
      <c r="C124" s="281"/>
      <c r="D124" s="281"/>
      <c r="E124" s="281"/>
      <c r="F124" s="281"/>
      <c r="G124" s="281"/>
      <c r="H124" s="281"/>
      <c r="I124" s="281"/>
      <c r="J124" s="281"/>
      <c r="K124" s="281"/>
      <c r="L124" s="281"/>
      <c r="M124" s="281"/>
      <c r="N124" s="281"/>
      <c r="O124" s="281"/>
      <c r="P124" s="281"/>
      <c r="Q124" s="281"/>
      <c r="R124" s="281"/>
      <c r="S124" s="281"/>
      <c r="T124" s="281"/>
      <c r="U124" s="281"/>
      <c r="V124" s="281"/>
      <c r="W124" s="281"/>
      <c r="X124" s="281"/>
      <c r="Y124" s="281"/>
      <c r="Z124" s="281"/>
      <c r="AA124" s="281"/>
      <c r="AB124" s="281"/>
      <c r="AC124" s="281"/>
      <c r="AD124" s="281"/>
      <c r="AE124" s="281"/>
      <c r="AF124" s="281"/>
      <c r="AG124" s="281"/>
      <c r="AH124" s="281"/>
      <c r="AI124" s="281"/>
      <c r="AJ124" s="281"/>
      <c r="AK124" s="281"/>
      <c r="AL124" s="281"/>
      <c r="AM124" s="281"/>
      <c r="AN124" s="281"/>
      <c r="AO124" s="281"/>
      <c r="AP124" s="281"/>
      <c r="AQ124" s="281"/>
      <c r="AR124" s="281"/>
      <c r="AS124" s="281"/>
      <c r="AT124" s="281"/>
      <c r="AU124" s="281"/>
      <c r="AV124" s="281"/>
      <c r="AW124" s="281"/>
      <c r="AX124" s="281"/>
      <c r="AY124" s="281"/>
      <c r="AZ124" s="281"/>
      <c r="BA124" s="281"/>
      <c r="BB124" s="281"/>
      <c r="BC124" s="281"/>
      <c r="BD124" s="281"/>
      <c r="BE124" s="281"/>
      <c r="BF124" s="281"/>
      <c r="BG124" s="281"/>
      <c r="BH124" s="281"/>
      <c r="BI124" s="281"/>
      <c r="BJ124" s="281"/>
      <c r="BK124" s="281"/>
      <c r="BL124" s="281"/>
      <c r="BM124" s="281"/>
      <c r="BN124" s="281"/>
      <c r="BO124" s="281"/>
      <c r="BP124" s="281"/>
      <c r="BQ124" s="281"/>
      <c r="BR124" s="281"/>
      <c r="BS124" s="281"/>
      <c r="BT124" s="281"/>
      <c r="BU124" s="281"/>
      <c r="BV124" s="281"/>
      <c r="BW124" s="281"/>
      <c r="BX124" s="281"/>
      <c r="BY124" s="281"/>
      <c r="BZ124" s="281"/>
      <c r="CA124" s="281"/>
      <c r="CB124" s="281"/>
      <c r="CC124" s="281"/>
      <c r="CD124" s="281"/>
      <c r="CE124" s="281"/>
      <c r="CF124" s="281"/>
      <c r="CG124" s="281"/>
      <c r="CH124" s="281"/>
      <c r="CI124" s="281"/>
      <c r="CJ124" s="281"/>
      <c r="CK124" s="281"/>
      <c r="CL124" s="281"/>
      <c r="CM124" s="281"/>
      <c r="CN124" s="281"/>
      <c r="CO124" s="281"/>
      <c r="CP124" s="281"/>
      <c r="CQ124" s="281"/>
      <c r="CR124" s="281"/>
      <c r="CS124" s="281"/>
      <c r="CT124" s="281"/>
      <c r="CU124" s="281"/>
      <c r="CV124" s="281"/>
      <c r="CW124" s="281"/>
      <c r="CX124" s="281"/>
      <c r="CY124" s="281"/>
      <c r="CZ124" s="281"/>
      <c r="DA124" s="281"/>
      <c r="DB124" s="281"/>
      <c r="DC124" s="281"/>
      <c r="DD124" s="281">
        <v>11120.909121539033</v>
      </c>
      <c r="DE124" s="281">
        <v>8910.1433005009894</v>
      </c>
      <c r="DF124" s="281">
        <v>10690.177400489345</v>
      </c>
      <c r="DG124" s="281">
        <v>3151.2732648789129</v>
      </c>
      <c r="DH124" s="281">
        <v>2794.3077531428162</v>
      </c>
      <c r="DI124" s="281"/>
      <c r="DJ124" s="281">
        <v>1896.9277611452551</v>
      </c>
      <c r="DK124" s="281"/>
      <c r="DL124" s="281"/>
      <c r="DM124" s="281"/>
      <c r="DN124" s="281"/>
      <c r="DO124" s="281"/>
      <c r="DP124" s="281"/>
      <c r="DQ124" s="281"/>
      <c r="DR124" s="281"/>
      <c r="DS124" s="281"/>
      <c r="DT124" s="281"/>
      <c r="DU124" s="281"/>
      <c r="DV124" s="281"/>
      <c r="DW124" s="281"/>
      <c r="DX124" s="281"/>
      <c r="DY124" s="281"/>
      <c r="DZ124" s="281">
        <v>37083.035723041707</v>
      </c>
      <c r="EA124" s="281"/>
      <c r="EB124" s="281"/>
      <c r="EC124" s="281"/>
      <c r="ED124" s="281"/>
      <c r="EE124" s="281"/>
      <c r="EF124" s="281"/>
      <c r="EG124" s="281"/>
      <c r="EH124" s="281"/>
      <c r="EI124" s="281"/>
      <c r="EJ124" s="281"/>
      <c r="EK124" s="281">
        <v>47.285824017984396</v>
      </c>
      <c r="EL124" s="281">
        <v>75694.060148756034</v>
      </c>
    </row>
    <row r="125" spans="1:142" x14ac:dyDescent="0.25">
      <c r="A125" s="279" t="s">
        <v>1540</v>
      </c>
      <c r="B125" s="281"/>
      <c r="C125" s="281"/>
      <c r="D125" s="281"/>
      <c r="E125" s="281"/>
      <c r="F125" s="281"/>
      <c r="G125" s="281"/>
      <c r="H125" s="281"/>
      <c r="I125" s="281"/>
      <c r="J125" s="281"/>
      <c r="K125" s="281"/>
      <c r="L125" s="281"/>
      <c r="M125" s="281"/>
      <c r="N125" s="281"/>
      <c r="O125" s="281"/>
      <c r="P125" s="281"/>
      <c r="Q125" s="281"/>
      <c r="R125" s="281"/>
      <c r="S125" s="281"/>
      <c r="T125" s="281"/>
      <c r="U125" s="281"/>
      <c r="V125" s="281"/>
      <c r="W125" s="281"/>
      <c r="X125" s="281"/>
      <c r="Y125" s="281"/>
      <c r="Z125" s="281"/>
      <c r="AA125" s="281"/>
      <c r="AB125" s="281"/>
      <c r="AC125" s="281"/>
      <c r="AD125" s="281"/>
      <c r="AE125" s="281"/>
      <c r="AF125" s="281"/>
      <c r="AG125" s="281"/>
      <c r="AH125" s="281"/>
      <c r="AI125" s="281"/>
      <c r="AJ125" s="281"/>
      <c r="AK125" s="281"/>
      <c r="AL125" s="281"/>
      <c r="AM125" s="281"/>
      <c r="AN125" s="281"/>
      <c r="AO125" s="281"/>
      <c r="AP125" s="281"/>
      <c r="AQ125" s="281"/>
      <c r="AR125" s="281"/>
      <c r="AS125" s="281"/>
      <c r="AT125" s="281"/>
      <c r="AU125" s="281"/>
      <c r="AV125" s="281"/>
      <c r="AW125" s="281"/>
      <c r="AX125" s="281"/>
      <c r="AY125" s="281"/>
      <c r="AZ125" s="281"/>
      <c r="BA125" s="281"/>
      <c r="BB125" s="281"/>
      <c r="BC125" s="281"/>
      <c r="BD125" s="281"/>
      <c r="BE125" s="281"/>
      <c r="BF125" s="281"/>
      <c r="BG125" s="281"/>
      <c r="BH125" s="281"/>
      <c r="BI125" s="281"/>
      <c r="BJ125" s="281"/>
      <c r="BK125" s="281"/>
      <c r="BL125" s="281"/>
      <c r="BM125" s="281"/>
      <c r="BN125" s="281"/>
      <c r="BO125" s="281"/>
      <c r="BP125" s="281"/>
      <c r="BQ125" s="281"/>
      <c r="BR125" s="281"/>
      <c r="BS125" s="281"/>
      <c r="BT125" s="281"/>
      <c r="BU125" s="281"/>
      <c r="BV125" s="281"/>
      <c r="BW125" s="281"/>
      <c r="BX125" s="281"/>
      <c r="BY125" s="281"/>
      <c r="BZ125" s="281"/>
      <c r="CA125" s="281"/>
      <c r="CB125" s="281"/>
      <c r="CC125" s="281"/>
      <c r="CD125" s="281"/>
      <c r="CE125" s="281"/>
      <c r="CF125" s="281"/>
      <c r="CG125" s="281"/>
      <c r="CH125" s="281"/>
      <c r="CI125" s="281"/>
      <c r="CJ125" s="281"/>
      <c r="CK125" s="281"/>
      <c r="CL125" s="281"/>
      <c r="CM125" s="281"/>
      <c r="CN125" s="281"/>
      <c r="CO125" s="281"/>
      <c r="CP125" s="281"/>
      <c r="CQ125" s="281"/>
      <c r="CR125" s="281"/>
      <c r="CS125" s="281"/>
      <c r="CT125" s="281"/>
      <c r="CU125" s="281"/>
      <c r="CV125" s="281"/>
      <c r="CW125" s="281"/>
      <c r="CX125" s="281"/>
      <c r="CY125" s="281"/>
      <c r="CZ125" s="281"/>
      <c r="DA125" s="281"/>
      <c r="DB125" s="281"/>
      <c r="DC125" s="281"/>
      <c r="DD125" s="281">
        <v>11578.864424242127</v>
      </c>
      <c r="DE125" s="281">
        <v>14253.479107898311</v>
      </c>
      <c r="DF125" s="281">
        <v>12896.646332436541</v>
      </c>
      <c r="DG125" s="281">
        <v>5098.2669200021037</v>
      </c>
      <c r="DH125" s="281">
        <v>4265.994610255575</v>
      </c>
      <c r="DI125" s="281"/>
      <c r="DJ125" s="281">
        <v>3234.6677281001498</v>
      </c>
      <c r="DK125" s="281"/>
      <c r="DL125" s="281"/>
      <c r="DM125" s="281"/>
      <c r="DN125" s="281"/>
      <c r="DO125" s="281"/>
      <c r="DP125" s="281"/>
      <c r="DQ125" s="281"/>
      <c r="DR125" s="281"/>
      <c r="DS125" s="281"/>
      <c r="DT125" s="281"/>
      <c r="DU125" s="281"/>
      <c r="DV125" s="281"/>
      <c r="DW125" s="281"/>
      <c r="DX125" s="281"/>
      <c r="DY125" s="281"/>
      <c r="DZ125" s="281">
        <v>36403.259960741576</v>
      </c>
      <c r="EA125" s="281"/>
      <c r="EB125" s="281"/>
      <c r="EC125" s="281"/>
      <c r="ED125" s="281"/>
      <c r="EE125" s="281"/>
      <c r="EF125" s="281"/>
      <c r="EG125" s="281"/>
      <c r="EH125" s="281"/>
      <c r="EI125" s="281"/>
      <c r="EJ125" s="281"/>
      <c r="EK125" s="281">
        <v>75.430420756278735</v>
      </c>
      <c r="EL125" s="281">
        <v>87806.609504432665</v>
      </c>
    </row>
    <row r="126" spans="1:142" x14ac:dyDescent="0.25">
      <c r="A126" s="279" t="s">
        <v>1539</v>
      </c>
      <c r="B126" s="281"/>
      <c r="C126" s="281"/>
      <c r="D126" s="281"/>
      <c r="E126" s="281"/>
      <c r="F126" s="281"/>
      <c r="G126" s="281"/>
      <c r="H126" s="281"/>
      <c r="I126" s="281"/>
      <c r="J126" s="281"/>
      <c r="K126" s="281"/>
      <c r="L126" s="281"/>
      <c r="M126" s="281"/>
      <c r="N126" s="281"/>
      <c r="O126" s="281"/>
      <c r="P126" s="281"/>
      <c r="Q126" s="281"/>
      <c r="R126" s="281"/>
      <c r="S126" s="281"/>
      <c r="T126" s="281"/>
      <c r="U126" s="281"/>
      <c r="V126" s="281"/>
      <c r="W126" s="281"/>
      <c r="X126" s="281"/>
      <c r="Y126" s="281"/>
      <c r="Z126" s="281"/>
      <c r="AA126" s="281"/>
      <c r="AB126" s="281"/>
      <c r="AC126" s="281"/>
      <c r="AD126" s="281"/>
      <c r="AE126" s="281"/>
      <c r="AF126" s="281"/>
      <c r="AG126" s="281"/>
      <c r="AH126" s="281"/>
      <c r="AI126" s="281"/>
      <c r="AJ126" s="281"/>
      <c r="AK126" s="281"/>
      <c r="AL126" s="281"/>
      <c r="AM126" s="281"/>
      <c r="AN126" s="281"/>
      <c r="AO126" s="281"/>
      <c r="AP126" s="281"/>
      <c r="AQ126" s="281"/>
      <c r="AR126" s="281"/>
      <c r="AS126" s="281"/>
      <c r="AT126" s="281"/>
      <c r="AU126" s="281"/>
      <c r="AV126" s="281"/>
      <c r="AW126" s="281"/>
      <c r="AX126" s="281"/>
      <c r="AY126" s="281"/>
      <c r="AZ126" s="281"/>
      <c r="BA126" s="281"/>
      <c r="BB126" s="281"/>
      <c r="BC126" s="281"/>
      <c r="BD126" s="281"/>
      <c r="BE126" s="281"/>
      <c r="BF126" s="281"/>
      <c r="BG126" s="281"/>
      <c r="BH126" s="281"/>
      <c r="BI126" s="281"/>
      <c r="BJ126" s="281"/>
      <c r="BK126" s="281"/>
      <c r="BL126" s="281"/>
      <c r="BM126" s="281"/>
      <c r="BN126" s="281"/>
      <c r="BO126" s="281"/>
      <c r="BP126" s="281"/>
      <c r="BQ126" s="281"/>
      <c r="BR126" s="281"/>
      <c r="BS126" s="281"/>
      <c r="BT126" s="281"/>
      <c r="BU126" s="281"/>
      <c r="BV126" s="281"/>
      <c r="BW126" s="281"/>
      <c r="BX126" s="281"/>
      <c r="BY126" s="281"/>
      <c r="BZ126" s="281"/>
      <c r="CA126" s="281"/>
      <c r="CB126" s="281"/>
      <c r="CC126" s="281"/>
      <c r="CD126" s="281"/>
      <c r="CE126" s="281"/>
      <c r="CF126" s="281"/>
      <c r="CG126" s="281"/>
      <c r="CH126" s="281"/>
      <c r="CI126" s="281"/>
      <c r="CJ126" s="281"/>
      <c r="CK126" s="281"/>
      <c r="CL126" s="281"/>
      <c r="CM126" s="281"/>
      <c r="CN126" s="281"/>
      <c r="CO126" s="281"/>
      <c r="CP126" s="281"/>
      <c r="CQ126" s="281"/>
      <c r="CR126" s="281"/>
      <c r="CS126" s="281"/>
      <c r="CT126" s="281"/>
      <c r="CU126" s="281"/>
      <c r="CV126" s="281"/>
      <c r="CW126" s="281"/>
      <c r="CX126" s="281"/>
      <c r="CY126" s="281"/>
      <c r="CZ126" s="281"/>
      <c r="DA126" s="281"/>
      <c r="DB126" s="281"/>
      <c r="DC126" s="281"/>
      <c r="DD126" s="281">
        <v>10862.675509066399</v>
      </c>
      <c r="DE126" s="281">
        <v>15477.571773987895</v>
      </c>
      <c r="DF126" s="281">
        <v>22963.679500054179</v>
      </c>
      <c r="DG126" s="281">
        <v>9392.4035972107813</v>
      </c>
      <c r="DH126" s="281">
        <v>6004.3613314833419</v>
      </c>
      <c r="DI126" s="281"/>
      <c r="DJ126" s="281">
        <v>5625.0577736963023</v>
      </c>
      <c r="DK126" s="281"/>
      <c r="DL126" s="281"/>
      <c r="DM126" s="281"/>
      <c r="DN126" s="281"/>
      <c r="DO126" s="281"/>
      <c r="DP126" s="281"/>
      <c r="DQ126" s="281"/>
      <c r="DR126" s="281"/>
      <c r="DS126" s="281"/>
      <c r="DT126" s="281"/>
      <c r="DU126" s="281"/>
      <c r="DV126" s="281"/>
      <c r="DW126" s="281"/>
      <c r="DX126" s="281"/>
      <c r="DY126" s="281"/>
      <c r="DZ126" s="281">
        <v>33484.214924695894</v>
      </c>
      <c r="EA126" s="281"/>
      <c r="EB126" s="281"/>
      <c r="EC126" s="281"/>
      <c r="ED126" s="281"/>
      <c r="EE126" s="281"/>
      <c r="EF126" s="281"/>
      <c r="EG126" s="281"/>
      <c r="EH126" s="281"/>
      <c r="EI126" s="281"/>
      <c r="EJ126" s="281"/>
      <c r="EK126" s="281">
        <v>116.60083342194035</v>
      </c>
      <c r="EL126" s="281">
        <v>103926.56524361674</v>
      </c>
    </row>
    <row r="127" spans="1:142" x14ac:dyDescent="0.25">
      <c r="A127" s="279" t="s">
        <v>1538</v>
      </c>
      <c r="B127" s="281"/>
      <c r="C127" s="281"/>
      <c r="D127" s="281"/>
      <c r="E127" s="281"/>
      <c r="F127" s="281"/>
      <c r="G127" s="281"/>
      <c r="H127" s="281"/>
      <c r="I127" s="281"/>
      <c r="J127" s="281"/>
      <c r="K127" s="281"/>
      <c r="L127" s="281"/>
      <c r="M127" s="281"/>
      <c r="N127" s="281"/>
      <c r="O127" s="281"/>
      <c r="P127" s="281"/>
      <c r="Q127" s="281"/>
      <c r="R127" s="281"/>
      <c r="S127" s="281"/>
      <c r="T127" s="281"/>
      <c r="U127" s="281"/>
      <c r="V127" s="281"/>
      <c r="W127" s="281"/>
      <c r="X127" s="281"/>
      <c r="Y127" s="281"/>
      <c r="Z127" s="281"/>
      <c r="AA127" s="281"/>
      <c r="AB127" s="281"/>
      <c r="AC127" s="281"/>
      <c r="AD127" s="281"/>
      <c r="AE127" s="281"/>
      <c r="AF127" s="281"/>
      <c r="AG127" s="281"/>
      <c r="AH127" s="281"/>
      <c r="AI127" s="281"/>
      <c r="AJ127" s="281"/>
      <c r="AK127" s="281"/>
      <c r="AL127" s="281"/>
      <c r="AM127" s="281"/>
      <c r="AN127" s="281"/>
      <c r="AO127" s="281"/>
      <c r="AP127" s="281"/>
      <c r="AQ127" s="281"/>
      <c r="AR127" s="281"/>
      <c r="AS127" s="281"/>
      <c r="AT127" s="281"/>
      <c r="AU127" s="281"/>
      <c r="AV127" s="281"/>
      <c r="AW127" s="281"/>
      <c r="AX127" s="281"/>
      <c r="AY127" s="281"/>
      <c r="AZ127" s="281"/>
      <c r="BA127" s="281"/>
      <c r="BB127" s="281"/>
      <c r="BC127" s="281"/>
      <c r="BD127" s="281"/>
      <c r="BE127" s="281"/>
      <c r="BF127" s="281"/>
      <c r="BG127" s="281"/>
      <c r="BH127" s="281"/>
      <c r="BI127" s="281"/>
      <c r="BJ127" s="281"/>
      <c r="BK127" s="281"/>
      <c r="BL127" s="281"/>
      <c r="BM127" s="281"/>
      <c r="BN127" s="281"/>
      <c r="BO127" s="281"/>
      <c r="BP127" s="281"/>
      <c r="BQ127" s="281"/>
      <c r="BR127" s="281"/>
      <c r="BS127" s="281"/>
      <c r="BT127" s="281"/>
      <c r="BU127" s="281"/>
      <c r="BV127" s="281"/>
      <c r="BW127" s="281"/>
      <c r="BX127" s="281"/>
      <c r="BY127" s="281"/>
      <c r="BZ127" s="281"/>
      <c r="CA127" s="281"/>
      <c r="CB127" s="281"/>
      <c r="CC127" s="281"/>
      <c r="CD127" s="281"/>
      <c r="CE127" s="281"/>
      <c r="CF127" s="281"/>
      <c r="CG127" s="281"/>
      <c r="CH127" s="281"/>
      <c r="CI127" s="281"/>
      <c r="CJ127" s="281"/>
      <c r="CK127" s="281"/>
      <c r="CL127" s="281"/>
      <c r="CM127" s="281"/>
      <c r="CN127" s="281"/>
      <c r="CO127" s="281"/>
      <c r="CP127" s="281"/>
      <c r="CQ127" s="281"/>
      <c r="CR127" s="281"/>
      <c r="CS127" s="281"/>
      <c r="CT127" s="281"/>
      <c r="CU127" s="281"/>
      <c r="CV127" s="281"/>
      <c r="CW127" s="281"/>
      <c r="CX127" s="281"/>
      <c r="CY127" s="281"/>
      <c r="CZ127" s="281"/>
      <c r="DA127" s="281"/>
      <c r="DB127" s="281"/>
      <c r="DC127" s="281"/>
      <c r="DD127" s="281">
        <v>10202.0013229453</v>
      </c>
      <c r="DE127" s="281">
        <v>19876.871062312748</v>
      </c>
      <c r="DF127" s="281">
        <v>28952.671989279435</v>
      </c>
      <c r="DG127" s="281">
        <v>22310.675635201489</v>
      </c>
      <c r="DH127" s="281">
        <v>9833.9733553365604</v>
      </c>
      <c r="DI127" s="281"/>
      <c r="DJ127" s="281">
        <v>11781.703113544156</v>
      </c>
      <c r="DK127" s="281"/>
      <c r="DL127" s="281"/>
      <c r="DM127" s="281"/>
      <c r="DN127" s="281"/>
      <c r="DO127" s="281"/>
      <c r="DP127" s="281"/>
      <c r="DQ127" s="281"/>
      <c r="DR127" s="281"/>
      <c r="DS127" s="281"/>
      <c r="DT127" s="281"/>
      <c r="DU127" s="281"/>
      <c r="DV127" s="281"/>
      <c r="DW127" s="281"/>
      <c r="DX127" s="281"/>
      <c r="DY127" s="281"/>
      <c r="DZ127" s="281">
        <v>24472.027145310865</v>
      </c>
      <c r="EA127" s="281"/>
      <c r="EB127" s="281"/>
      <c r="EC127" s="281"/>
      <c r="ED127" s="281"/>
      <c r="EE127" s="281"/>
      <c r="EF127" s="281"/>
      <c r="EG127" s="281"/>
      <c r="EH127" s="281"/>
      <c r="EI127" s="281"/>
      <c r="EJ127" s="281"/>
      <c r="EK127" s="281">
        <v>164.80811534239442</v>
      </c>
      <c r="EL127" s="281">
        <v>127594.73173927295</v>
      </c>
    </row>
    <row r="128" spans="1:142" x14ac:dyDescent="0.25">
      <c r="A128" s="279" t="s">
        <v>1537</v>
      </c>
      <c r="B128" s="281"/>
      <c r="C128" s="281"/>
      <c r="D128" s="281"/>
      <c r="E128" s="281"/>
      <c r="F128" s="281"/>
      <c r="G128" s="281"/>
      <c r="H128" s="281"/>
      <c r="I128" s="281"/>
      <c r="J128" s="281"/>
      <c r="K128" s="281"/>
      <c r="L128" s="281"/>
      <c r="M128" s="281"/>
      <c r="N128" s="281"/>
      <c r="O128" s="281"/>
      <c r="P128" s="281"/>
      <c r="Q128" s="281"/>
      <c r="R128" s="281"/>
      <c r="S128" s="281"/>
      <c r="T128" s="281"/>
      <c r="U128" s="281"/>
      <c r="V128" s="281"/>
      <c r="W128" s="281"/>
      <c r="X128" s="281"/>
      <c r="Y128" s="281"/>
      <c r="Z128" s="281"/>
      <c r="AA128" s="281"/>
      <c r="AB128" s="281"/>
      <c r="AC128" s="281"/>
      <c r="AD128" s="281"/>
      <c r="AE128" s="281"/>
      <c r="AF128" s="281"/>
      <c r="AG128" s="281"/>
      <c r="AH128" s="281"/>
      <c r="AI128" s="281"/>
      <c r="AJ128" s="281"/>
      <c r="AK128" s="281"/>
      <c r="AL128" s="281"/>
      <c r="AM128" s="281"/>
      <c r="AN128" s="281"/>
      <c r="AO128" s="281"/>
      <c r="AP128" s="281"/>
      <c r="AQ128" s="281"/>
      <c r="AR128" s="281"/>
      <c r="AS128" s="281"/>
      <c r="AT128" s="281"/>
      <c r="AU128" s="281"/>
      <c r="AV128" s="281"/>
      <c r="AW128" s="281"/>
      <c r="AX128" s="281"/>
      <c r="AY128" s="281"/>
      <c r="AZ128" s="281"/>
      <c r="BA128" s="281"/>
      <c r="BB128" s="281"/>
      <c r="BC128" s="281"/>
      <c r="BD128" s="281"/>
      <c r="BE128" s="281"/>
      <c r="BF128" s="281"/>
      <c r="BG128" s="281"/>
      <c r="BH128" s="281"/>
      <c r="BI128" s="281"/>
      <c r="BJ128" s="281"/>
      <c r="BK128" s="281"/>
      <c r="BL128" s="281"/>
      <c r="BM128" s="281"/>
      <c r="BN128" s="281"/>
      <c r="BO128" s="281"/>
      <c r="BP128" s="281"/>
      <c r="BQ128" s="281"/>
      <c r="BR128" s="281"/>
      <c r="BS128" s="281"/>
      <c r="BT128" s="281"/>
      <c r="BU128" s="281"/>
      <c r="BV128" s="281"/>
      <c r="BW128" s="281"/>
      <c r="BX128" s="281"/>
      <c r="BY128" s="281"/>
      <c r="BZ128" s="281"/>
      <c r="CA128" s="281"/>
      <c r="CB128" s="281"/>
      <c r="CC128" s="281"/>
      <c r="CD128" s="281"/>
      <c r="CE128" s="281"/>
      <c r="CF128" s="281"/>
      <c r="CG128" s="281"/>
      <c r="CH128" s="281"/>
      <c r="CI128" s="281"/>
      <c r="CJ128" s="281"/>
      <c r="CK128" s="281"/>
      <c r="CL128" s="281"/>
      <c r="CM128" s="281"/>
      <c r="CN128" s="281"/>
      <c r="CO128" s="281"/>
      <c r="CP128" s="281"/>
      <c r="CQ128" s="281"/>
      <c r="CR128" s="281"/>
      <c r="CS128" s="281"/>
      <c r="CT128" s="281"/>
      <c r="CU128" s="281"/>
      <c r="CV128" s="281"/>
      <c r="CW128" s="281"/>
      <c r="CX128" s="281"/>
      <c r="CY128" s="281"/>
      <c r="CZ128" s="281"/>
      <c r="DA128" s="281"/>
      <c r="DB128" s="281"/>
      <c r="DC128" s="281"/>
      <c r="DD128" s="281">
        <v>8110.4984896827082</v>
      </c>
      <c r="DE128" s="281">
        <v>18019.215597578539</v>
      </c>
      <c r="DF128" s="281">
        <v>50106.986714551109</v>
      </c>
      <c r="DG128" s="281">
        <v>36305.790649791925</v>
      </c>
      <c r="DH128" s="281">
        <v>15248.093975700007</v>
      </c>
      <c r="DI128" s="281"/>
      <c r="DJ128" s="281">
        <v>19850.165973902302</v>
      </c>
      <c r="DK128" s="281"/>
      <c r="DL128" s="281"/>
      <c r="DM128" s="281"/>
      <c r="DN128" s="281"/>
      <c r="DO128" s="281"/>
      <c r="DP128" s="281"/>
      <c r="DQ128" s="281"/>
      <c r="DR128" s="281"/>
      <c r="DS128" s="281"/>
      <c r="DT128" s="281"/>
      <c r="DU128" s="281"/>
      <c r="DV128" s="281"/>
      <c r="DW128" s="281"/>
      <c r="DX128" s="281"/>
      <c r="DY128" s="281"/>
      <c r="DZ128" s="281">
        <v>22413.938737558026</v>
      </c>
      <c r="EA128" s="281"/>
      <c r="EB128" s="281"/>
      <c r="EC128" s="281"/>
      <c r="ED128" s="281"/>
      <c r="EE128" s="281"/>
      <c r="EF128" s="281"/>
      <c r="EG128" s="281"/>
      <c r="EH128" s="281"/>
      <c r="EI128" s="281"/>
      <c r="EJ128" s="281"/>
      <c r="EK128" s="281">
        <v>341.1889178543554</v>
      </c>
      <c r="EL128" s="281">
        <v>170395.87905661899</v>
      </c>
    </row>
    <row r="129" spans="1:142" x14ac:dyDescent="0.25">
      <c r="A129" s="279" t="s">
        <v>1536</v>
      </c>
      <c r="B129" s="281"/>
      <c r="C129" s="281"/>
      <c r="D129" s="281"/>
      <c r="E129" s="281"/>
      <c r="F129" s="281"/>
      <c r="G129" s="281"/>
      <c r="H129" s="281"/>
      <c r="I129" s="281"/>
      <c r="J129" s="281"/>
      <c r="K129" s="281"/>
      <c r="L129" s="281"/>
      <c r="M129" s="281"/>
      <c r="N129" s="281"/>
      <c r="O129" s="281"/>
      <c r="P129" s="281"/>
      <c r="Q129" s="281"/>
      <c r="R129" s="281"/>
      <c r="S129" s="281"/>
      <c r="T129" s="281"/>
      <c r="U129" s="281"/>
      <c r="V129" s="281"/>
      <c r="W129" s="281"/>
      <c r="X129" s="281"/>
      <c r="Y129" s="281"/>
      <c r="Z129" s="281"/>
      <c r="AA129" s="281"/>
      <c r="AB129" s="281"/>
      <c r="AC129" s="281"/>
      <c r="AD129" s="281"/>
      <c r="AE129" s="281"/>
      <c r="AF129" s="281"/>
      <c r="AG129" s="281"/>
      <c r="AH129" s="281"/>
      <c r="AI129" s="281"/>
      <c r="AJ129" s="281"/>
      <c r="AK129" s="281"/>
      <c r="AL129" s="281"/>
      <c r="AM129" s="281"/>
      <c r="AN129" s="281"/>
      <c r="AO129" s="281"/>
      <c r="AP129" s="281"/>
      <c r="AQ129" s="281"/>
      <c r="AR129" s="281"/>
      <c r="AS129" s="281"/>
      <c r="AT129" s="281"/>
      <c r="AU129" s="281"/>
      <c r="AV129" s="281"/>
      <c r="AW129" s="281"/>
      <c r="AX129" s="281"/>
      <c r="AY129" s="281"/>
      <c r="AZ129" s="281"/>
      <c r="BA129" s="281"/>
      <c r="BB129" s="281"/>
      <c r="BC129" s="281"/>
      <c r="BD129" s="281"/>
      <c r="BE129" s="281"/>
      <c r="BF129" s="281"/>
      <c r="BG129" s="281"/>
      <c r="BH129" s="281"/>
      <c r="BI129" s="281"/>
      <c r="BJ129" s="281"/>
      <c r="BK129" s="281"/>
      <c r="BL129" s="281"/>
      <c r="BM129" s="281"/>
      <c r="BN129" s="281"/>
      <c r="BO129" s="281"/>
      <c r="BP129" s="281"/>
      <c r="BQ129" s="281"/>
      <c r="BR129" s="281"/>
      <c r="BS129" s="281"/>
      <c r="BT129" s="281"/>
      <c r="BU129" s="281"/>
      <c r="BV129" s="281"/>
      <c r="BW129" s="281"/>
      <c r="BX129" s="281"/>
      <c r="BY129" s="281"/>
      <c r="BZ129" s="281"/>
      <c r="CA129" s="281"/>
      <c r="CB129" s="281"/>
      <c r="CC129" s="281"/>
      <c r="CD129" s="281"/>
      <c r="CE129" s="281"/>
      <c r="CF129" s="281"/>
      <c r="CG129" s="281"/>
      <c r="CH129" s="281"/>
      <c r="CI129" s="281"/>
      <c r="CJ129" s="281"/>
      <c r="CK129" s="281"/>
      <c r="CL129" s="281"/>
      <c r="CM129" s="281"/>
      <c r="CN129" s="281"/>
      <c r="CO129" s="281"/>
      <c r="CP129" s="281"/>
      <c r="CQ129" s="281"/>
      <c r="CR129" s="281"/>
      <c r="CS129" s="281"/>
      <c r="CT129" s="281"/>
      <c r="CU129" s="281"/>
      <c r="CV129" s="281"/>
      <c r="CW129" s="281"/>
      <c r="CX129" s="281"/>
      <c r="CY129" s="281"/>
      <c r="CZ129" s="281"/>
      <c r="DA129" s="281"/>
      <c r="DB129" s="281"/>
      <c r="DC129" s="281"/>
      <c r="DD129" s="281">
        <v>5788.2118061129677</v>
      </c>
      <c r="DE129" s="281">
        <v>26255.2805232178</v>
      </c>
      <c r="DF129" s="281">
        <v>54683.16665409194</v>
      </c>
      <c r="DG129" s="281">
        <v>88000.237397311561</v>
      </c>
      <c r="DH129" s="281">
        <v>29741.554463756587</v>
      </c>
      <c r="DI129" s="281"/>
      <c r="DJ129" s="281">
        <v>40930.828766866529</v>
      </c>
      <c r="DK129" s="281"/>
      <c r="DL129" s="281"/>
      <c r="DM129" s="281"/>
      <c r="DN129" s="281"/>
      <c r="DO129" s="281"/>
      <c r="DP129" s="281"/>
      <c r="DQ129" s="281"/>
      <c r="DR129" s="281"/>
      <c r="DS129" s="281"/>
      <c r="DT129" s="281"/>
      <c r="DU129" s="281"/>
      <c r="DV129" s="281"/>
      <c r="DW129" s="281"/>
      <c r="DX129" s="281"/>
      <c r="DY129" s="281"/>
      <c r="DZ129" s="281">
        <v>17500.821949717276</v>
      </c>
      <c r="EA129" s="281"/>
      <c r="EB129" s="281"/>
      <c r="EC129" s="281"/>
      <c r="ED129" s="281"/>
      <c r="EE129" s="281"/>
      <c r="EF129" s="281"/>
      <c r="EG129" s="281"/>
      <c r="EH129" s="281"/>
      <c r="EI129" s="281"/>
      <c r="EJ129" s="281"/>
      <c r="EK129" s="281">
        <v>688.32629442177563</v>
      </c>
      <c r="EL129" s="281">
        <v>263588.42785549647</v>
      </c>
    </row>
    <row r="130" spans="1:142" x14ac:dyDescent="0.25">
      <c r="A130" s="279" t="s">
        <v>1535</v>
      </c>
      <c r="B130" s="281"/>
      <c r="C130" s="281"/>
      <c r="D130" s="281"/>
      <c r="E130" s="281"/>
      <c r="F130" s="281"/>
      <c r="G130" s="281"/>
      <c r="H130" s="281"/>
      <c r="I130" s="281"/>
      <c r="J130" s="281"/>
      <c r="K130" s="281"/>
      <c r="L130" s="281"/>
      <c r="M130" s="281"/>
      <c r="N130" s="281"/>
      <c r="O130" s="281"/>
      <c r="P130" s="281"/>
      <c r="Q130" s="281"/>
      <c r="R130" s="281"/>
      <c r="S130" s="281"/>
      <c r="T130" s="281"/>
      <c r="U130" s="281"/>
      <c r="V130" s="281"/>
      <c r="W130" s="281"/>
      <c r="X130" s="281"/>
      <c r="Y130" s="281"/>
      <c r="Z130" s="281"/>
      <c r="AA130" s="281"/>
      <c r="AB130" s="281"/>
      <c r="AC130" s="281"/>
      <c r="AD130" s="281"/>
      <c r="AE130" s="281"/>
      <c r="AF130" s="281"/>
      <c r="AG130" s="281"/>
      <c r="AH130" s="281"/>
      <c r="AI130" s="281"/>
      <c r="AJ130" s="281"/>
      <c r="AK130" s="281"/>
      <c r="AL130" s="281"/>
      <c r="AM130" s="281"/>
      <c r="AN130" s="281"/>
      <c r="AO130" s="281"/>
      <c r="AP130" s="281"/>
      <c r="AQ130" s="281"/>
      <c r="AR130" s="281"/>
      <c r="AS130" s="281"/>
      <c r="AT130" s="281"/>
      <c r="AU130" s="281"/>
      <c r="AV130" s="281"/>
      <c r="AW130" s="281"/>
      <c r="AX130" s="281"/>
      <c r="AY130" s="281"/>
      <c r="AZ130" s="281"/>
      <c r="BA130" s="281"/>
      <c r="BB130" s="281"/>
      <c r="BC130" s="281"/>
      <c r="BD130" s="281"/>
      <c r="BE130" s="281"/>
      <c r="BF130" s="281"/>
      <c r="BG130" s="281"/>
      <c r="BH130" s="281"/>
      <c r="BI130" s="281"/>
      <c r="BJ130" s="281"/>
      <c r="BK130" s="281"/>
      <c r="BL130" s="281"/>
      <c r="BM130" s="281"/>
      <c r="BN130" s="281"/>
      <c r="BO130" s="281"/>
      <c r="BP130" s="281"/>
      <c r="BQ130" s="281"/>
      <c r="BR130" s="281"/>
      <c r="BS130" s="281"/>
      <c r="BT130" s="281"/>
      <c r="BU130" s="281"/>
      <c r="BV130" s="281"/>
      <c r="BW130" s="281"/>
      <c r="BX130" s="281"/>
      <c r="BY130" s="281"/>
      <c r="BZ130" s="281"/>
      <c r="CA130" s="281"/>
      <c r="CB130" s="281"/>
      <c r="CC130" s="281"/>
      <c r="CD130" s="281"/>
      <c r="CE130" s="281"/>
      <c r="CF130" s="281"/>
      <c r="CG130" s="281"/>
      <c r="CH130" s="281"/>
      <c r="CI130" s="281"/>
      <c r="CJ130" s="281"/>
      <c r="CK130" s="281"/>
      <c r="CL130" s="281"/>
      <c r="CM130" s="281"/>
      <c r="CN130" s="281"/>
      <c r="CO130" s="281"/>
      <c r="CP130" s="281"/>
      <c r="CQ130" s="281"/>
      <c r="CR130" s="281"/>
      <c r="CS130" s="281"/>
      <c r="CT130" s="281"/>
      <c r="CU130" s="281"/>
      <c r="CV130" s="281"/>
      <c r="CW130" s="281"/>
      <c r="CX130" s="281"/>
      <c r="CY130" s="281"/>
      <c r="CZ130" s="281"/>
      <c r="DA130" s="281"/>
      <c r="DB130" s="281"/>
      <c r="DC130" s="281"/>
      <c r="DD130" s="281">
        <v>4517.8300868108545</v>
      </c>
      <c r="DE130" s="281">
        <v>18914.153774825849</v>
      </c>
      <c r="DF130" s="281">
        <v>83526.425327875564</v>
      </c>
      <c r="DG130" s="281">
        <v>208005.33964794088</v>
      </c>
      <c r="DH130" s="281">
        <v>94553.484988240758</v>
      </c>
      <c r="DI130" s="281"/>
      <c r="DJ130" s="281">
        <v>94320.998508837132</v>
      </c>
      <c r="DK130" s="281"/>
      <c r="DL130" s="281"/>
      <c r="DM130" s="281"/>
      <c r="DN130" s="281"/>
      <c r="DO130" s="281"/>
      <c r="DP130" s="281"/>
      <c r="DQ130" s="281"/>
      <c r="DR130" s="281"/>
      <c r="DS130" s="281"/>
      <c r="DT130" s="281"/>
      <c r="DU130" s="281"/>
      <c r="DV130" s="281"/>
      <c r="DW130" s="281"/>
      <c r="DX130" s="281"/>
      <c r="DY130" s="281"/>
      <c r="DZ130" s="281">
        <v>17467.85876461005</v>
      </c>
      <c r="EA130" s="281"/>
      <c r="EB130" s="281"/>
      <c r="EC130" s="281"/>
      <c r="ED130" s="281"/>
      <c r="EE130" s="281"/>
      <c r="EF130" s="281"/>
      <c r="EG130" s="281"/>
      <c r="EH130" s="281"/>
      <c r="EI130" s="281"/>
      <c r="EJ130" s="281"/>
      <c r="EK130" s="281">
        <v>2494.3097545911373</v>
      </c>
      <c r="EL130" s="281">
        <v>523800.40085373219</v>
      </c>
    </row>
    <row r="131" spans="1:142" x14ac:dyDescent="0.25">
      <c r="A131" s="279" t="s">
        <v>1534</v>
      </c>
      <c r="B131" s="281"/>
      <c r="C131" s="281"/>
      <c r="D131" s="281"/>
      <c r="E131" s="281"/>
      <c r="F131" s="281"/>
      <c r="G131" s="281"/>
      <c r="H131" s="281"/>
      <c r="I131" s="281"/>
      <c r="J131" s="281"/>
      <c r="K131" s="281"/>
      <c r="L131" s="281"/>
      <c r="M131" s="281"/>
      <c r="N131" s="281"/>
      <c r="O131" s="281"/>
      <c r="P131" s="281"/>
      <c r="Q131" s="281"/>
      <c r="R131" s="281"/>
      <c r="S131" s="281"/>
      <c r="T131" s="281"/>
      <c r="U131" s="281"/>
      <c r="V131" s="281"/>
      <c r="W131" s="281"/>
      <c r="X131" s="281"/>
      <c r="Y131" s="281"/>
      <c r="Z131" s="281"/>
      <c r="AA131" s="281"/>
      <c r="AB131" s="281"/>
      <c r="AC131" s="281"/>
      <c r="AD131" s="281"/>
      <c r="AE131" s="281"/>
      <c r="AF131" s="281"/>
      <c r="AG131" s="281"/>
      <c r="AH131" s="281"/>
      <c r="AI131" s="281"/>
      <c r="AJ131" s="281"/>
      <c r="AK131" s="281"/>
      <c r="AL131" s="281"/>
      <c r="AM131" s="281"/>
      <c r="AN131" s="281"/>
      <c r="AO131" s="281"/>
      <c r="AP131" s="281"/>
      <c r="AQ131" s="281"/>
      <c r="AR131" s="281"/>
      <c r="AS131" s="281"/>
      <c r="AT131" s="281"/>
      <c r="AU131" s="281"/>
      <c r="AV131" s="281"/>
      <c r="AW131" s="281"/>
      <c r="AX131" s="281"/>
      <c r="AY131" s="281"/>
      <c r="AZ131" s="281"/>
      <c r="BA131" s="281"/>
      <c r="BB131" s="281"/>
      <c r="BC131" s="281"/>
      <c r="BD131" s="281"/>
      <c r="BE131" s="281"/>
      <c r="BF131" s="281"/>
      <c r="BG131" s="281"/>
      <c r="BH131" s="281"/>
      <c r="BI131" s="281"/>
      <c r="BJ131" s="281"/>
      <c r="BK131" s="281"/>
      <c r="BL131" s="281"/>
      <c r="BM131" s="281"/>
      <c r="BN131" s="281"/>
      <c r="BO131" s="281"/>
      <c r="BP131" s="281"/>
      <c r="BQ131" s="281"/>
      <c r="BR131" s="281"/>
      <c r="BS131" s="281"/>
      <c r="BT131" s="281"/>
      <c r="BU131" s="281"/>
      <c r="BV131" s="281"/>
      <c r="BW131" s="281"/>
      <c r="BX131" s="281"/>
      <c r="BY131" s="281"/>
      <c r="BZ131" s="281"/>
      <c r="CA131" s="281"/>
      <c r="CB131" s="281"/>
      <c r="CC131" s="281"/>
      <c r="CD131" s="281"/>
      <c r="CE131" s="281"/>
      <c r="CF131" s="281"/>
      <c r="CG131" s="281"/>
      <c r="CH131" s="281"/>
      <c r="CI131" s="281"/>
      <c r="CJ131" s="281"/>
      <c r="CK131" s="281"/>
      <c r="CL131" s="281"/>
      <c r="CM131" s="281"/>
      <c r="CN131" s="281"/>
      <c r="CO131" s="281"/>
      <c r="CP131" s="281"/>
      <c r="CQ131" s="281"/>
      <c r="CR131" s="281"/>
      <c r="CS131" s="281"/>
      <c r="CT131" s="281"/>
      <c r="CU131" s="281"/>
      <c r="CV131" s="281"/>
      <c r="CW131" s="281"/>
      <c r="CX131" s="281"/>
      <c r="CY131" s="281"/>
      <c r="CZ131" s="281"/>
      <c r="DA131" s="281"/>
      <c r="DB131" s="281"/>
      <c r="DC131" s="281"/>
      <c r="DD131" s="281">
        <v>268.98370432985081</v>
      </c>
      <c r="DE131" s="281">
        <v>3219.4976756422284</v>
      </c>
      <c r="DF131" s="281">
        <v>17955.775317842425</v>
      </c>
      <c r="DG131" s="281">
        <v>71632.820072468341</v>
      </c>
      <c r="DH131" s="281">
        <v>26770.474428663907</v>
      </c>
      <c r="DI131" s="281"/>
      <c r="DJ131" s="281">
        <v>36043.533606869474</v>
      </c>
      <c r="DK131" s="281"/>
      <c r="DL131" s="281"/>
      <c r="DM131" s="281"/>
      <c r="DN131" s="281"/>
      <c r="DO131" s="281"/>
      <c r="DP131" s="281"/>
      <c r="DQ131" s="281"/>
      <c r="DR131" s="281"/>
      <c r="DS131" s="281"/>
      <c r="DT131" s="281"/>
      <c r="DU131" s="281"/>
      <c r="DV131" s="281"/>
      <c r="DW131" s="281"/>
      <c r="DX131" s="281"/>
      <c r="DY131" s="281"/>
      <c r="DZ131" s="281">
        <v>7553.8128680500495</v>
      </c>
      <c r="EA131" s="281"/>
      <c r="EB131" s="281"/>
      <c r="EC131" s="281"/>
      <c r="ED131" s="281"/>
      <c r="EE131" s="281"/>
      <c r="EF131" s="281"/>
      <c r="EG131" s="281"/>
      <c r="EH131" s="281"/>
      <c r="EI131" s="281"/>
      <c r="EJ131" s="281"/>
      <c r="EK131" s="281">
        <v>774.89731018930843</v>
      </c>
      <c r="EL131" s="281">
        <v>164219.7949840556</v>
      </c>
    </row>
    <row r="132" spans="1:142" x14ac:dyDescent="0.25">
      <c r="A132" s="279" t="s">
        <v>1533</v>
      </c>
      <c r="B132" s="281"/>
      <c r="C132" s="281"/>
      <c r="D132" s="281"/>
      <c r="E132" s="281"/>
      <c r="F132" s="281"/>
      <c r="G132" s="281"/>
      <c r="H132" s="281"/>
      <c r="I132" s="281"/>
      <c r="J132" s="281"/>
      <c r="K132" s="281"/>
      <c r="L132" s="281"/>
      <c r="M132" s="281"/>
      <c r="N132" s="281"/>
      <c r="O132" s="281"/>
      <c r="P132" s="281"/>
      <c r="Q132" s="281"/>
      <c r="R132" s="281"/>
      <c r="S132" s="281"/>
      <c r="T132" s="281"/>
      <c r="U132" s="281"/>
      <c r="V132" s="281"/>
      <c r="W132" s="281"/>
      <c r="X132" s="281"/>
      <c r="Y132" s="281"/>
      <c r="Z132" s="281"/>
      <c r="AA132" s="281"/>
      <c r="AB132" s="281"/>
      <c r="AC132" s="281"/>
      <c r="AD132" s="281"/>
      <c r="AE132" s="281"/>
      <c r="AF132" s="281"/>
      <c r="AG132" s="281"/>
      <c r="AH132" s="281"/>
      <c r="AI132" s="281"/>
      <c r="AJ132" s="281"/>
      <c r="AK132" s="281"/>
      <c r="AL132" s="281"/>
      <c r="AM132" s="281"/>
      <c r="AN132" s="281"/>
      <c r="AO132" s="281"/>
      <c r="AP132" s="281"/>
      <c r="AQ132" s="281"/>
      <c r="AR132" s="281"/>
      <c r="AS132" s="281"/>
      <c r="AT132" s="281"/>
      <c r="AU132" s="281"/>
      <c r="AV132" s="281"/>
      <c r="AW132" s="281"/>
      <c r="AX132" s="281"/>
      <c r="AY132" s="281"/>
      <c r="AZ132" s="281"/>
      <c r="BA132" s="281"/>
      <c r="BB132" s="281"/>
      <c r="BC132" s="281"/>
      <c r="BD132" s="281"/>
      <c r="BE132" s="281"/>
      <c r="BF132" s="281"/>
      <c r="BG132" s="281"/>
      <c r="BH132" s="281"/>
      <c r="BI132" s="281"/>
      <c r="BJ132" s="281"/>
      <c r="BK132" s="281"/>
      <c r="BL132" s="281"/>
      <c r="BM132" s="281"/>
      <c r="BN132" s="281"/>
      <c r="BO132" s="281"/>
      <c r="BP132" s="281"/>
      <c r="BQ132" s="281"/>
      <c r="BR132" s="281"/>
      <c r="BS132" s="281"/>
      <c r="BT132" s="281"/>
      <c r="BU132" s="281"/>
      <c r="BV132" s="281"/>
      <c r="BW132" s="281"/>
      <c r="BX132" s="281"/>
      <c r="BY132" s="281"/>
      <c r="BZ132" s="281"/>
      <c r="CA132" s="281"/>
      <c r="CB132" s="281"/>
      <c r="CC132" s="281"/>
      <c r="CD132" s="281"/>
      <c r="CE132" s="281"/>
      <c r="CF132" s="281"/>
      <c r="CG132" s="281"/>
      <c r="CH132" s="281"/>
      <c r="CI132" s="281"/>
      <c r="CJ132" s="281"/>
      <c r="CK132" s="281"/>
      <c r="CL132" s="281"/>
      <c r="CM132" s="281"/>
      <c r="CN132" s="281"/>
      <c r="CO132" s="281"/>
      <c r="CP132" s="281"/>
      <c r="CQ132" s="281"/>
      <c r="CR132" s="281"/>
      <c r="CS132" s="281"/>
      <c r="CT132" s="281"/>
      <c r="CU132" s="281"/>
      <c r="CV132" s="281"/>
      <c r="CW132" s="281"/>
      <c r="CX132" s="281"/>
      <c r="CY132" s="281"/>
      <c r="CZ132" s="281"/>
      <c r="DA132" s="281"/>
      <c r="DB132" s="281"/>
      <c r="DC132" s="281"/>
      <c r="DD132" s="281">
        <v>298.24772447085064</v>
      </c>
      <c r="DE132" s="281">
        <v>2788.1337561971704</v>
      </c>
      <c r="DF132" s="281">
        <v>17603.509010254111</v>
      </c>
      <c r="DG132" s="281">
        <v>67698.057501420088</v>
      </c>
      <c r="DH132" s="281">
        <v>41590.679690633071</v>
      </c>
      <c r="DI132" s="281"/>
      <c r="DJ132" s="281">
        <v>43572.382732674676</v>
      </c>
      <c r="DK132" s="281"/>
      <c r="DL132" s="281"/>
      <c r="DM132" s="281"/>
      <c r="DN132" s="281"/>
      <c r="DO132" s="281"/>
      <c r="DP132" s="281"/>
      <c r="DQ132" s="281"/>
      <c r="DR132" s="281"/>
      <c r="DS132" s="281"/>
      <c r="DT132" s="281"/>
      <c r="DU132" s="281"/>
      <c r="DV132" s="281"/>
      <c r="DW132" s="281"/>
      <c r="DX132" s="281"/>
      <c r="DY132" s="281"/>
      <c r="DZ132" s="281">
        <v>2796.779817742924</v>
      </c>
      <c r="EA132" s="281"/>
      <c r="EB132" s="281"/>
      <c r="EC132" s="281"/>
      <c r="ED132" s="281"/>
      <c r="EE132" s="281"/>
      <c r="EF132" s="281"/>
      <c r="EG132" s="281"/>
      <c r="EH132" s="281"/>
      <c r="EI132" s="281"/>
      <c r="EJ132" s="281"/>
      <c r="EK132" s="281">
        <v>1207.1869102200365</v>
      </c>
      <c r="EL132" s="281">
        <v>177554.97714361295</v>
      </c>
    </row>
    <row r="133" spans="1:142" x14ac:dyDescent="0.25">
      <c r="A133" s="279" t="s">
        <v>1532</v>
      </c>
      <c r="B133" s="281"/>
      <c r="C133" s="281"/>
      <c r="D133" s="281"/>
      <c r="E133" s="281"/>
      <c r="F133" s="281"/>
      <c r="G133" s="281"/>
      <c r="H133" s="281"/>
      <c r="I133" s="281"/>
      <c r="J133" s="281"/>
      <c r="K133" s="281"/>
      <c r="L133" s="281"/>
      <c r="M133" s="281"/>
      <c r="N133" s="281"/>
      <c r="O133" s="281"/>
      <c r="P133" s="281"/>
      <c r="Q133" s="281"/>
      <c r="R133" s="281"/>
      <c r="S133" s="281"/>
      <c r="T133" s="281"/>
      <c r="U133" s="281"/>
      <c r="V133" s="281"/>
      <c r="W133" s="281"/>
      <c r="X133" s="281"/>
      <c r="Y133" s="281"/>
      <c r="Z133" s="281"/>
      <c r="AA133" s="281"/>
      <c r="AB133" s="281"/>
      <c r="AC133" s="281"/>
      <c r="AD133" s="281"/>
      <c r="AE133" s="281"/>
      <c r="AF133" s="281"/>
      <c r="AG133" s="281"/>
      <c r="AH133" s="281"/>
      <c r="AI133" s="281"/>
      <c r="AJ133" s="281"/>
      <c r="AK133" s="281"/>
      <c r="AL133" s="281"/>
      <c r="AM133" s="281"/>
      <c r="AN133" s="281"/>
      <c r="AO133" s="281"/>
      <c r="AP133" s="281"/>
      <c r="AQ133" s="281"/>
      <c r="AR133" s="281"/>
      <c r="AS133" s="281"/>
      <c r="AT133" s="281"/>
      <c r="AU133" s="281"/>
      <c r="AV133" s="281"/>
      <c r="AW133" s="281"/>
      <c r="AX133" s="281"/>
      <c r="AY133" s="281"/>
      <c r="AZ133" s="281"/>
      <c r="BA133" s="281"/>
      <c r="BB133" s="281"/>
      <c r="BC133" s="281"/>
      <c r="BD133" s="281"/>
      <c r="BE133" s="281"/>
      <c r="BF133" s="281"/>
      <c r="BG133" s="281"/>
      <c r="BH133" s="281"/>
      <c r="BI133" s="281"/>
      <c r="BJ133" s="281"/>
      <c r="BK133" s="281"/>
      <c r="BL133" s="281"/>
      <c r="BM133" s="281"/>
      <c r="BN133" s="281"/>
      <c r="BO133" s="281"/>
      <c r="BP133" s="281"/>
      <c r="BQ133" s="281"/>
      <c r="BR133" s="281"/>
      <c r="BS133" s="281"/>
      <c r="BT133" s="281"/>
      <c r="BU133" s="281"/>
      <c r="BV133" s="281"/>
      <c r="BW133" s="281"/>
      <c r="BX133" s="281"/>
      <c r="BY133" s="281"/>
      <c r="BZ133" s="281"/>
      <c r="CA133" s="281"/>
      <c r="CB133" s="281"/>
      <c r="CC133" s="281"/>
      <c r="CD133" s="281"/>
      <c r="CE133" s="281"/>
      <c r="CF133" s="281"/>
      <c r="CG133" s="281"/>
      <c r="CH133" s="281"/>
      <c r="CI133" s="281"/>
      <c r="CJ133" s="281"/>
      <c r="CK133" s="281"/>
      <c r="CL133" s="281"/>
      <c r="CM133" s="281"/>
      <c r="CN133" s="281"/>
      <c r="CO133" s="281"/>
      <c r="CP133" s="281"/>
      <c r="CQ133" s="281"/>
      <c r="CR133" s="281"/>
      <c r="CS133" s="281"/>
      <c r="CT133" s="281"/>
      <c r="CU133" s="281"/>
      <c r="CV133" s="281"/>
      <c r="CW133" s="281"/>
      <c r="CX133" s="281"/>
      <c r="CY133" s="281"/>
      <c r="CZ133" s="281"/>
      <c r="DA133" s="281"/>
      <c r="DB133" s="281"/>
      <c r="DC133" s="281"/>
      <c r="DD133" s="281">
        <v>144.82733209590126</v>
      </c>
      <c r="DE133" s="281">
        <v>1233.5536030794947</v>
      </c>
      <c r="DF133" s="281">
        <v>22750.450809813115</v>
      </c>
      <c r="DG133" s="281">
        <v>76758.920178002343</v>
      </c>
      <c r="DH133" s="281">
        <v>43674.686011450358</v>
      </c>
      <c r="DI133" s="281"/>
      <c r="DJ133" s="281">
        <v>61021.006424957064</v>
      </c>
      <c r="DK133" s="281"/>
      <c r="DL133" s="281"/>
      <c r="DM133" s="281"/>
      <c r="DN133" s="281"/>
      <c r="DO133" s="281"/>
      <c r="DP133" s="281"/>
      <c r="DQ133" s="281"/>
      <c r="DR133" s="281"/>
      <c r="DS133" s="281"/>
      <c r="DT133" s="281"/>
      <c r="DU133" s="281"/>
      <c r="DV133" s="281"/>
      <c r="DW133" s="281"/>
      <c r="DX133" s="281"/>
      <c r="DY133" s="281"/>
      <c r="DZ133" s="281">
        <v>1668.09253764294</v>
      </c>
      <c r="EA133" s="281"/>
      <c r="EB133" s="281"/>
      <c r="EC133" s="281"/>
      <c r="ED133" s="281"/>
      <c r="EE133" s="281"/>
      <c r="EF133" s="281"/>
      <c r="EG133" s="281"/>
      <c r="EH133" s="281"/>
      <c r="EI133" s="281"/>
      <c r="EJ133" s="281"/>
      <c r="EK133" s="281">
        <v>1316.0723589583979</v>
      </c>
      <c r="EL133" s="281">
        <v>208567.60925599962</v>
      </c>
    </row>
    <row r="134" spans="1:142" x14ac:dyDescent="0.25">
      <c r="A134" s="279" t="s">
        <v>1531</v>
      </c>
      <c r="B134" s="281"/>
      <c r="C134" s="281"/>
      <c r="D134" s="281"/>
      <c r="E134" s="281"/>
      <c r="F134" s="281"/>
      <c r="G134" s="281"/>
      <c r="H134" s="281"/>
      <c r="I134" s="281"/>
      <c r="J134" s="281"/>
      <c r="K134" s="281"/>
      <c r="L134" s="281"/>
      <c r="M134" s="281"/>
      <c r="N134" s="281"/>
      <c r="O134" s="281"/>
      <c r="P134" s="281"/>
      <c r="Q134" s="281"/>
      <c r="R134" s="281"/>
      <c r="S134" s="281"/>
      <c r="T134" s="281"/>
      <c r="U134" s="281"/>
      <c r="V134" s="281"/>
      <c r="W134" s="281"/>
      <c r="X134" s="281"/>
      <c r="Y134" s="281"/>
      <c r="Z134" s="281"/>
      <c r="AA134" s="281"/>
      <c r="AB134" s="281"/>
      <c r="AC134" s="281"/>
      <c r="AD134" s="281"/>
      <c r="AE134" s="281"/>
      <c r="AF134" s="281"/>
      <c r="AG134" s="281"/>
      <c r="AH134" s="281"/>
      <c r="AI134" s="281"/>
      <c r="AJ134" s="281"/>
      <c r="AK134" s="281"/>
      <c r="AL134" s="281"/>
      <c r="AM134" s="281"/>
      <c r="AN134" s="281"/>
      <c r="AO134" s="281"/>
      <c r="AP134" s="281"/>
      <c r="AQ134" s="281"/>
      <c r="AR134" s="281"/>
      <c r="AS134" s="281"/>
      <c r="AT134" s="281"/>
      <c r="AU134" s="281"/>
      <c r="AV134" s="281"/>
      <c r="AW134" s="281"/>
      <c r="AX134" s="281"/>
      <c r="AY134" s="281"/>
      <c r="AZ134" s="281"/>
      <c r="BA134" s="281"/>
      <c r="BB134" s="281"/>
      <c r="BC134" s="281"/>
      <c r="BD134" s="281"/>
      <c r="BE134" s="281"/>
      <c r="BF134" s="281"/>
      <c r="BG134" s="281"/>
      <c r="BH134" s="281"/>
      <c r="BI134" s="281"/>
      <c r="BJ134" s="281"/>
      <c r="BK134" s="281"/>
      <c r="BL134" s="281"/>
      <c r="BM134" s="281"/>
      <c r="BN134" s="281"/>
      <c r="BO134" s="281"/>
      <c r="BP134" s="281"/>
      <c r="BQ134" s="281"/>
      <c r="BR134" s="281"/>
      <c r="BS134" s="281"/>
      <c r="BT134" s="281"/>
      <c r="BU134" s="281"/>
      <c r="BV134" s="281"/>
      <c r="BW134" s="281"/>
      <c r="BX134" s="281"/>
      <c r="BY134" s="281"/>
      <c r="BZ134" s="281"/>
      <c r="CA134" s="281"/>
      <c r="CB134" s="281"/>
      <c r="CC134" s="281"/>
      <c r="CD134" s="281"/>
      <c r="CE134" s="281"/>
      <c r="CF134" s="281"/>
      <c r="CG134" s="281"/>
      <c r="CH134" s="281"/>
      <c r="CI134" s="281"/>
      <c r="CJ134" s="281"/>
      <c r="CK134" s="281"/>
      <c r="CL134" s="281"/>
      <c r="CM134" s="281"/>
      <c r="CN134" s="281"/>
      <c r="CO134" s="281"/>
      <c r="CP134" s="281"/>
      <c r="CQ134" s="281"/>
      <c r="CR134" s="281"/>
      <c r="CS134" s="281"/>
      <c r="CT134" s="281"/>
      <c r="CU134" s="281"/>
      <c r="CV134" s="281"/>
      <c r="CW134" s="281"/>
      <c r="CX134" s="281"/>
      <c r="CY134" s="281"/>
      <c r="CZ134" s="281"/>
      <c r="DA134" s="281"/>
      <c r="DB134" s="281"/>
      <c r="DC134" s="281"/>
      <c r="DD134" s="281">
        <v>491.51438398663402</v>
      </c>
      <c r="DE134" s="281">
        <v>4196.829037464473</v>
      </c>
      <c r="DF134" s="281">
        <v>13461.197751677857</v>
      </c>
      <c r="DG134" s="281">
        <v>143999.81223604499</v>
      </c>
      <c r="DH134" s="281">
        <v>36310.793163777103</v>
      </c>
      <c r="DI134" s="281"/>
      <c r="DJ134" s="281">
        <v>68696.026503418601</v>
      </c>
      <c r="DK134" s="281"/>
      <c r="DL134" s="281"/>
      <c r="DM134" s="281"/>
      <c r="DN134" s="281"/>
      <c r="DO134" s="281"/>
      <c r="DP134" s="281"/>
      <c r="DQ134" s="281"/>
      <c r="DR134" s="281"/>
      <c r="DS134" s="281"/>
      <c r="DT134" s="281"/>
      <c r="DU134" s="281"/>
      <c r="DV134" s="281"/>
      <c r="DW134" s="281"/>
      <c r="DX134" s="281"/>
      <c r="DY134" s="281"/>
      <c r="DZ134" s="281">
        <v>6632.601828445202</v>
      </c>
      <c r="EA134" s="281"/>
      <c r="EB134" s="281"/>
      <c r="EC134" s="281"/>
      <c r="ED134" s="281"/>
      <c r="EE134" s="281"/>
      <c r="EF134" s="281"/>
      <c r="EG134" s="281"/>
      <c r="EH134" s="281"/>
      <c r="EI134" s="281"/>
      <c r="EJ134" s="281"/>
      <c r="EK134" s="281">
        <v>838.21668261858485</v>
      </c>
      <c r="EL134" s="281">
        <v>274626.9915874335</v>
      </c>
    </row>
    <row r="135" spans="1:142" x14ac:dyDescent="0.25">
      <c r="A135" s="279" t="s">
        <v>1530</v>
      </c>
      <c r="B135" s="281"/>
      <c r="C135" s="281"/>
      <c r="D135" s="281"/>
      <c r="E135" s="281"/>
      <c r="F135" s="281"/>
      <c r="G135" s="281"/>
      <c r="H135" s="281"/>
      <c r="I135" s="281"/>
      <c r="J135" s="281"/>
      <c r="K135" s="281"/>
      <c r="L135" s="281"/>
      <c r="M135" s="281"/>
      <c r="N135" s="281"/>
      <c r="O135" s="281"/>
      <c r="P135" s="281"/>
      <c r="Q135" s="281"/>
      <c r="R135" s="281"/>
      <c r="S135" s="281"/>
      <c r="T135" s="281"/>
      <c r="U135" s="281"/>
      <c r="V135" s="281"/>
      <c r="W135" s="281"/>
      <c r="X135" s="281"/>
      <c r="Y135" s="281"/>
      <c r="Z135" s="281"/>
      <c r="AA135" s="281"/>
      <c r="AB135" s="281"/>
      <c r="AC135" s="281"/>
      <c r="AD135" s="281"/>
      <c r="AE135" s="281"/>
      <c r="AF135" s="281"/>
      <c r="AG135" s="281"/>
      <c r="AH135" s="281"/>
      <c r="AI135" s="281"/>
      <c r="AJ135" s="281"/>
      <c r="AK135" s="281"/>
      <c r="AL135" s="281"/>
      <c r="AM135" s="281"/>
      <c r="AN135" s="281"/>
      <c r="AO135" s="281"/>
      <c r="AP135" s="281"/>
      <c r="AQ135" s="281"/>
      <c r="AR135" s="281"/>
      <c r="AS135" s="281"/>
      <c r="AT135" s="281"/>
      <c r="AU135" s="281"/>
      <c r="AV135" s="281"/>
      <c r="AW135" s="281"/>
      <c r="AX135" s="281"/>
      <c r="AY135" s="281"/>
      <c r="AZ135" s="281"/>
      <c r="BA135" s="281"/>
      <c r="BB135" s="281"/>
      <c r="BC135" s="281"/>
      <c r="BD135" s="281"/>
      <c r="BE135" s="281"/>
      <c r="BF135" s="281"/>
      <c r="BG135" s="281"/>
      <c r="BH135" s="281"/>
      <c r="BI135" s="281"/>
      <c r="BJ135" s="281"/>
      <c r="BK135" s="281"/>
      <c r="BL135" s="281"/>
      <c r="BM135" s="281"/>
      <c r="BN135" s="281"/>
      <c r="BO135" s="281"/>
      <c r="BP135" s="281"/>
      <c r="BQ135" s="281"/>
      <c r="BR135" s="281"/>
      <c r="BS135" s="281"/>
      <c r="BT135" s="281"/>
      <c r="BU135" s="281"/>
      <c r="BV135" s="281"/>
      <c r="BW135" s="281"/>
      <c r="BX135" s="281"/>
      <c r="BY135" s="281"/>
      <c r="BZ135" s="281"/>
      <c r="CA135" s="281"/>
      <c r="CB135" s="281"/>
      <c r="CC135" s="281"/>
      <c r="CD135" s="281"/>
      <c r="CE135" s="281"/>
      <c r="CF135" s="281"/>
      <c r="CG135" s="281"/>
      <c r="CH135" s="281"/>
      <c r="CI135" s="281"/>
      <c r="CJ135" s="281"/>
      <c r="CK135" s="281"/>
      <c r="CL135" s="281"/>
      <c r="CM135" s="281"/>
      <c r="CN135" s="281"/>
      <c r="CO135" s="281"/>
      <c r="CP135" s="281"/>
      <c r="CQ135" s="281"/>
      <c r="CR135" s="281"/>
      <c r="CS135" s="281"/>
      <c r="CT135" s="281"/>
      <c r="CU135" s="281"/>
      <c r="CV135" s="281"/>
      <c r="CW135" s="281"/>
      <c r="CX135" s="281"/>
      <c r="CY135" s="281"/>
      <c r="CZ135" s="281"/>
      <c r="DA135" s="281"/>
      <c r="DB135" s="281"/>
      <c r="DC135" s="281"/>
      <c r="DD135" s="281">
        <v>350.91511240106877</v>
      </c>
      <c r="DE135" s="281">
        <v>1319.4754425029707</v>
      </c>
      <c r="DF135" s="281">
        <v>27513.910565468355</v>
      </c>
      <c r="DG135" s="281">
        <v>142099.51458249812</v>
      </c>
      <c r="DH135" s="281">
        <v>107350.13947194561</v>
      </c>
      <c r="DI135" s="281"/>
      <c r="DJ135" s="281">
        <v>159228.65880803039</v>
      </c>
      <c r="DK135" s="281"/>
      <c r="DL135" s="281"/>
      <c r="DM135" s="281"/>
      <c r="DN135" s="281"/>
      <c r="DO135" s="281"/>
      <c r="DP135" s="281"/>
      <c r="DQ135" s="281"/>
      <c r="DR135" s="281"/>
      <c r="DS135" s="281"/>
      <c r="DT135" s="281"/>
      <c r="DU135" s="281"/>
      <c r="DV135" s="281"/>
      <c r="DW135" s="281"/>
      <c r="DX135" s="281"/>
      <c r="DY135" s="281"/>
      <c r="DZ135" s="281">
        <v>4281.8749643634574</v>
      </c>
      <c r="EA135" s="281"/>
      <c r="EB135" s="281"/>
      <c r="EC135" s="281"/>
      <c r="ED135" s="281"/>
      <c r="EE135" s="281"/>
      <c r="EF135" s="281"/>
      <c r="EG135" s="281"/>
      <c r="EH135" s="281"/>
      <c r="EI135" s="281"/>
      <c r="EJ135" s="281"/>
      <c r="EK135" s="281">
        <v>3145.0699690834244</v>
      </c>
      <c r="EL135" s="281">
        <v>445289.55891629338</v>
      </c>
    </row>
    <row r="136" spans="1:142" x14ac:dyDescent="0.25">
      <c r="A136" s="279" t="s">
        <v>1529</v>
      </c>
      <c r="B136" s="281"/>
      <c r="C136" s="281"/>
      <c r="D136" s="281"/>
      <c r="E136" s="281"/>
      <c r="F136" s="281"/>
      <c r="G136" s="281"/>
      <c r="H136" s="281"/>
      <c r="I136" s="281"/>
      <c r="J136" s="281"/>
      <c r="K136" s="281"/>
      <c r="L136" s="281"/>
      <c r="M136" s="281"/>
      <c r="N136" s="281"/>
      <c r="O136" s="281"/>
      <c r="P136" s="281"/>
      <c r="Q136" s="281"/>
      <c r="R136" s="281"/>
      <c r="S136" s="281"/>
      <c r="T136" s="281"/>
      <c r="U136" s="281"/>
      <c r="V136" s="281"/>
      <c r="W136" s="281"/>
      <c r="X136" s="281"/>
      <c r="Y136" s="281"/>
      <c r="Z136" s="281"/>
      <c r="AA136" s="281"/>
      <c r="AB136" s="281"/>
      <c r="AC136" s="281"/>
      <c r="AD136" s="281"/>
      <c r="AE136" s="281"/>
      <c r="AF136" s="281"/>
      <c r="AG136" s="281"/>
      <c r="AH136" s="281"/>
      <c r="AI136" s="281"/>
      <c r="AJ136" s="281"/>
      <c r="AK136" s="281"/>
      <c r="AL136" s="281"/>
      <c r="AM136" s="281"/>
      <c r="AN136" s="281"/>
      <c r="AO136" s="281"/>
      <c r="AP136" s="281"/>
      <c r="AQ136" s="281"/>
      <c r="AR136" s="281"/>
      <c r="AS136" s="281"/>
      <c r="AT136" s="281"/>
      <c r="AU136" s="281"/>
      <c r="AV136" s="281"/>
      <c r="AW136" s="281"/>
      <c r="AX136" s="281"/>
      <c r="AY136" s="281"/>
      <c r="AZ136" s="281"/>
      <c r="BA136" s="281"/>
      <c r="BB136" s="281"/>
      <c r="BC136" s="281"/>
      <c r="BD136" s="281"/>
      <c r="BE136" s="281"/>
      <c r="BF136" s="281"/>
      <c r="BG136" s="281"/>
      <c r="BH136" s="281"/>
      <c r="BI136" s="281"/>
      <c r="BJ136" s="281"/>
      <c r="BK136" s="281"/>
      <c r="BL136" s="281"/>
      <c r="BM136" s="281"/>
      <c r="BN136" s="281"/>
      <c r="BO136" s="281"/>
      <c r="BP136" s="281"/>
      <c r="BQ136" s="281"/>
      <c r="BR136" s="281"/>
      <c r="BS136" s="281"/>
      <c r="BT136" s="281"/>
      <c r="BU136" s="281"/>
      <c r="BV136" s="281"/>
      <c r="BW136" s="281"/>
      <c r="BX136" s="281"/>
      <c r="BY136" s="281"/>
      <c r="BZ136" s="281"/>
      <c r="CA136" s="281"/>
      <c r="CB136" s="281"/>
      <c r="CC136" s="281"/>
      <c r="CD136" s="281"/>
      <c r="CE136" s="281"/>
      <c r="CF136" s="281"/>
      <c r="CG136" s="281"/>
      <c r="CH136" s="281"/>
      <c r="CI136" s="281"/>
      <c r="CJ136" s="281"/>
      <c r="CK136" s="281"/>
      <c r="CL136" s="281"/>
      <c r="CM136" s="281"/>
      <c r="CN136" s="281"/>
      <c r="CO136" s="281"/>
      <c r="CP136" s="281"/>
      <c r="CQ136" s="281"/>
      <c r="CR136" s="281"/>
      <c r="CS136" s="281"/>
      <c r="CT136" s="281"/>
      <c r="CU136" s="281"/>
      <c r="CV136" s="281"/>
      <c r="CW136" s="281"/>
      <c r="CX136" s="281"/>
      <c r="CY136" s="281"/>
      <c r="CZ136" s="281"/>
      <c r="DA136" s="281"/>
      <c r="DB136" s="281"/>
      <c r="DC136" s="281"/>
      <c r="DD136" s="281"/>
      <c r="DE136" s="281"/>
      <c r="DF136" s="281"/>
      <c r="DG136" s="281"/>
      <c r="DH136" s="281">
        <v>77983</v>
      </c>
      <c r="DI136" s="281"/>
      <c r="DJ136" s="281">
        <v>160078</v>
      </c>
      <c r="DK136" s="281"/>
      <c r="DL136" s="281">
        <v>1.8228925913890541</v>
      </c>
      <c r="DM136" s="281">
        <v>41.879888915333659</v>
      </c>
      <c r="DN136" s="281">
        <v>265.4106682068832</v>
      </c>
      <c r="DO136" s="281">
        <v>522.07240675477476</v>
      </c>
      <c r="DP136" s="281">
        <v>1899.4450898206935</v>
      </c>
      <c r="DQ136" s="281">
        <v>2928.5182704988747</v>
      </c>
      <c r="DR136" s="281">
        <v>6563.4053331467385</v>
      </c>
      <c r="DS136" s="281">
        <v>16950.532088253291</v>
      </c>
      <c r="DT136" s="281">
        <v>45059.682633890639</v>
      </c>
      <c r="DU136" s="281">
        <v>17707.65359339902</v>
      </c>
      <c r="DV136" s="281">
        <v>21145.844498925431</v>
      </c>
      <c r="DW136" s="281">
        <v>21431.94984582538</v>
      </c>
      <c r="DX136" s="281">
        <v>19808.679483017229</v>
      </c>
      <c r="DY136" s="281">
        <v>36485.103306754339</v>
      </c>
      <c r="DZ136" s="281">
        <v>153754</v>
      </c>
      <c r="EA136" s="281">
        <v>46078</v>
      </c>
      <c r="EB136" s="281">
        <v>466126.00000000006</v>
      </c>
      <c r="EC136" s="281">
        <v>37470</v>
      </c>
      <c r="ED136" s="281">
        <v>285432</v>
      </c>
      <c r="EE136" s="281"/>
      <c r="EF136" s="281"/>
      <c r="EG136" s="281"/>
      <c r="EH136" s="281"/>
      <c r="EI136" s="281"/>
      <c r="EJ136" s="281"/>
      <c r="EK136" s="281">
        <v>1845</v>
      </c>
      <c r="EL136" s="281">
        <v>1419578</v>
      </c>
    </row>
    <row r="137" spans="1:142" x14ac:dyDescent="0.25">
      <c r="A137" s="279" t="s">
        <v>1528</v>
      </c>
      <c r="B137" s="281">
        <v>-38.187736305329544</v>
      </c>
      <c r="C137" s="281">
        <v>147.75298843662267</v>
      </c>
      <c r="D137" s="281">
        <v>17.722323751077084</v>
      </c>
      <c r="E137" s="281">
        <v>623.10889343646022</v>
      </c>
      <c r="F137" s="281">
        <v>835.05442659300331</v>
      </c>
      <c r="G137" s="281">
        <v>664.1635194662</v>
      </c>
      <c r="H137" s="281">
        <v>243.40689850206752</v>
      </c>
      <c r="I137" s="281">
        <v>16.062452636807258</v>
      </c>
      <c r="J137" s="281">
        <v>19.266100661333326</v>
      </c>
      <c r="K137" s="281">
        <v>-8.4914703176885466E-3</v>
      </c>
      <c r="L137" s="281">
        <v>202.24578829710379</v>
      </c>
      <c r="M137" s="281">
        <v>469.16263332685514</v>
      </c>
      <c r="N137" s="281">
        <v>57.682385801658491</v>
      </c>
      <c r="O137" s="281">
        <v>90.996020023385626</v>
      </c>
      <c r="P137" s="281">
        <v>-4.3846028724612118</v>
      </c>
      <c r="Q137" s="281">
        <v>50.98335799588407</v>
      </c>
      <c r="R137" s="281">
        <v>120.56593558102681</v>
      </c>
      <c r="S137" s="281">
        <v>29.340448988142217</v>
      </c>
      <c r="T137" s="281">
        <v>232.38401300993434</v>
      </c>
      <c r="U137" s="281">
        <v>498.32614937273843</v>
      </c>
      <c r="V137" s="281">
        <v>-1017.2601390451771</v>
      </c>
      <c r="W137" s="281">
        <v>400.93280897918106</v>
      </c>
      <c r="X137" s="281">
        <v>11.243001556516033</v>
      </c>
      <c r="Y137" s="281">
        <v>-39.587295893344489</v>
      </c>
      <c r="Z137" s="281">
        <v>34.066683381494592</v>
      </c>
      <c r="AA137" s="281">
        <v>69.525164745184412</v>
      </c>
      <c r="AB137" s="281">
        <v>284.02346666763549</v>
      </c>
      <c r="AC137" s="281">
        <v>40.852711014038775</v>
      </c>
      <c r="AD137" s="281">
        <v>21.976834849992009</v>
      </c>
      <c r="AE137" s="281">
        <v>-163.0446890783129</v>
      </c>
      <c r="AF137" s="281">
        <v>146.18550664524355</v>
      </c>
      <c r="AG137" s="281">
        <v>65.757785048502853</v>
      </c>
      <c r="AH137" s="281">
        <v>-77.940493629417361</v>
      </c>
      <c r="AI137" s="281">
        <v>40.997851037684285</v>
      </c>
      <c r="AJ137" s="281">
        <v>37.17121960300355</v>
      </c>
      <c r="AK137" s="281">
        <v>93.012918154258912</v>
      </c>
      <c r="AL137" s="281">
        <v>-24.561849530260556</v>
      </c>
      <c r="AM137" s="281">
        <v>-277.18045913794441</v>
      </c>
      <c r="AN137" s="281">
        <v>1020.1421917771047</v>
      </c>
      <c r="AO137" s="281">
        <v>6167.5156306280314</v>
      </c>
      <c r="AP137" s="281">
        <v>665.2877974141503</v>
      </c>
      <c r="AQ137" s="281">
        <v>40.706796096459307</v>
      </c>
      <c r="AR137" s="281">
        <v>155.13800475176831</v>
      </c>
      <c r="AS137" s="281">
        <v>376.97482643704512</v>
      </c>
      <c r="AT137" s="281">
        <v>506.58110586539237</v>
      </c>
      <c r="AU137" s="281">
        <v>1584.93813317322</v>
      </c>
      <c r="AV137" s="281">
        <v>783.4607706209664</v>
      </c>
      <c r="AW137" s="281">
        <v>3222.7648669506989</v>
      </c>
      <c r="AX137" s="281">
        <v>19672.335281291511</v>
      </c>
      <c r="AY137" s="281">
        <v>5196.1438776917275</v>
      </c>
      <c r="AZ137" s="281">
        <v>2764.1961867014197</v>
      </c>
      <c r="BA137" s="281"/>
      <c r="BB137" s="281"/>
      <c r="BC137" s="281"/>
      <c r="BD137" s="281"/>
      <c r="BE137" s="281"/>
      <c r="BF137" s="281"/>
      <c r="BG137" s="281"/>
      <c r="BH137" s="281"/>
      <c r="BI137" s="281"/>
      <c r="BJ137" s="281"/>
      <c r="BK137" s="281"/>
      <c r="BL137" s="281"/>
      <c r="BM137" s="281"/>
      <c r="BN137" s="281"/>
      <c r="BO137" s="281"/>
      <c r="BP137" s="281"/>
      <c r="BQ137" s="281"/>
      <c r="BR137" s="281"/>
      <c r="BS137" s="281"/>
      <c r="BT137" s="281"/>
      <c r="BU137" s="281"/>
      <c r="BV137" s="281"/>
      <c r="BW137" s="281"/>
      <c r="BX137" s="281"/>
      <c r="BY137" s="281"/>
      <c r="BZ137" s="281"/>
      <c r="CA137" s="281"/>
      <c r="CB137" s="281"/>
      <c r="CC137" s="281"/>
      <c r="CD137" s="281"/>
      <c r="CE137" s="281"/>
      <c r="CF137" s="281"/>
      <c r="CG137" s="281"/>
      <c r="CH137" s="281"/>
      <c r="CI137" s="281"/>
      <c r="CJ137" s="281"/>
      <c r="CK137" s="281"/>
      <c r="CL137" s="281"/>
      <c r="CM137" s="281"/>
      <c r="CN137" s="281"/>
      <c r="CO137" s="281"/>
      <c r="CP137" s="281"/>
      <c r="CQ137" s="281"/>
      <c r="CR137" s="281"/>
      <c r="CS137" s="281"/>
      <c r="CT137" s="281"/>
      <c r="CU137" s="281"/>
      <c r="CV137" s="281"/>
      <c r="CW137" s="281"/>
      <c r="CX137" s="281"/>
      <c r="CY137" s="281"/>
      <c r="CZ137" s="281"/>
      <c r="DA137" s="281"/>
      <c r="DB137" s="281"/>
      <c r="DC137" s="281"/>
      <c r="DD137" s="281"/>
      <c r="DE137" s="281"/>
      <c r="DF137" s="281"/>
      <c r="DG137" s="281"/>
      <c r="DH137" s="281"/>
      <c r="DI137" s="281"/>
      <c r="DJ137" s="281"/>
      <c r="DK137" s="281"/>
      <c r="DL137" s="281"/>
      <c r="DM137" s="281"/>
      <c r="DN137" s="281"/>
      <c r="DO137" s="281"/>
      <c r="DP137" s="281"/>
      <c r="DQ137" s="281"/>
      <c r="DR137" s="281"/>
      <c r="DS137" s="281"/>
      <c r="DT137" s="281"/>
      <c r="DU137" s="281"/>
      <c r="DV137" s="281"/>
      <c r="DW137" s="281"/>
      <c r="DX137" s="281"/>
      <c r="DY137" s="281"/>
      <c r="DZ137" s="281"/>
      <c r="EA137" s="281"/>
      <c r="EB137" s="281"/>
      <c r="EC137" s="281"/>
      <c r="ED137" s="281"/>
      <c r="EE137" s="281"/>
      <c r="EF137" s="281"/>
      <c r="EG137" s="281"/>
      <c r="EH137" s="281"/>
      <c r="EI137" s="281"/>
      <c r="EJ137" s="281"/>
      <c r="EK137" s="281"/>
      <c r="EL137" s="281">
        <v>46077.999999999964</v>
      </c>
    </row>
    <row r="138" spans="1:142" x14ac:dyDescent="0.25">
      <c r="A138" s="279" t="s">
        <v>1527</v>
      </c>
      <c r="B138" s="281"/>
      <c r="C138" s="281"/>
      <c r="D138" s="281"/>
      <c r="E138" s="281"/>
      <c r="F138" s="281"/>
      <c r="G138" s="281"/>
      <c r="H138" s="281"/>
      <c r="I138" s="281"/>
      <c r="J138" s="281"/>
      <c r="K138" s="281"/>
      <c r="L138" s="281"/>
      <c r="M138" s="281"/>
      <c r="N138" s="281"/>
      <c r="O138" s="281"/>
      <c r="P138" s="281"/>
      <c r="Q138" s="281"/>
      <c r="R138" s="281"/>
      <c r="S138" s="281"/>
      <c r="T138" s="281"/>
      <c r="U138" s="281"/>
      <c r="V138" s="281"/>
      <c r="W138" s="281"/>
      <c r="X138" s="281"/>
      <c r="Y138" s="281"/>
      <c r="Z138" s="281"/>
      <c r="AA138" s="281"/>
      <c r="AB138" s="281"/>
      <c r="AC138" s="281"/>
      <c r="AD138" s="281"/>
      <c r="AE138" s="281"/>
      <c r="AF138" s="281"/>
      <c r="AG138" s="281"/>
      <c r="AH138" s="281"/>
      <c r="AI138" s="281"/>
      <c r="AJ138" s="281"/>
      <c r="AK138" s="281"/>
      <c r="AL138" s="281"/>
      <c r="AM138" s="281"/>
      <c r="AN138" s="281"/>
      <c r="AO138" s="281"/>
      <c r="AP138" s="281"/>
      <c r="AQ138" s="281"/>
      <c r="AR138" s="281"/>
      <c r="AS138" s="281"/>
      <c r="AT138" s="281"/>
      <c r="AU138" s="281"/>
      <c r="AV138" s="281"/>
      <c r="AW138" s="281"/>
      <c r="AX138" s="281"/>
      <c r="AY138" s="281"/>
      <c r="AZ138" s="281"/>
      <c r="BA138" s="281"/>
      <c r="BB138" s="281"/>
      <c r="BC138" s="281"/>
      <c r="BD138" s="281"/>
      <c r="BE138" s="281"/>
      <c r="BF138" s="281"/>
      <c r="BG138" s="281"/>
      <c r="BH138" s="281"/>
      <c r="BI138" s="281"/>
      <c r="BJ138" s="281"/>
      <c r="BK138" s="281"/>
      <c r="BL138" s="281"/>
      <c r="BM138" s="281"/>
      <c r="BN138" s="281"/>
      <c r="BO138" s="281"/>
      <c r="BP138" s="281"/>
      <c r="BQ138" s="281"/>
      <c r="BR138" s="281"/>
      <c r="BS138" s="281"/>
      <c r="BT138" s="281"/>
      <c r="BU138" s="281"/>
      <c r="BV138" s="281"/>
      <c r="BW138" s="281"/>
      <c r="BX138" s="281"/>
      <c r="BY138" s="281"/>
      <c r="BZ138" s="281"/>
      <c r="CA138" s="281"/>
      <c r="CB138" s="281"/>
      <c r="CC138" s="281"/>
      <c r="CD138" s="281"/>
      <c r="CE138" s="281"/>
      <c r="CF138" s="281"/>
      <c r="CG138" s="281"/>
      <c r="CH138" s="281"/>
      <c r="CI138" s="281"/>
      <c r="CJ138" s="281"/>
      <c r="CK138" s="281"/>
      <c r="CL138" s="281"/>
      <c r="CM138" s="281"/>
      <c r="CN138" s="281"/>
      <c r="CO138" s="281"/>
      <c r="CP138" s="281"/>
      <c r="CQ138" s="281"/>
      <c r="CR138" s="281"/>
      <c r="CS138" s="281"/>
      <c r="CT138" s="281"/>
      <c r="CU138" s="281"/>
      <c r="CV138" s="281"/>
      <c r="CW138" s="281"/>
      <c r="CX138" s="281"/>
      <c r="CY138" s="281"/>
      <c r="CZ138" s="281"/>
      <c r="DA138" s="281"/>
      <c r="DB138" s="281"/>
      <c r="DC138" s="281"/>
      <c r="DD138" s="281"/>
      <c r="DE138" s="281"/>
      <c r="DF138" s="281"/>
      <c r="DG138" s="281"/>
      <c r="DH138" s="281"/>
      <c r="DI138" s="281"/>
      <c r="DJ138" s="281">
        <v>177659.33962820336</v>
      </c>
      <c r="DK138" s="281">
        <v>4651.6603717966391</v>
      </c>
      <c r="DL138" s="281">
        <v>45.709983113347874</v>
      </c>
      <c r="DM138" s="281">
        <v>105.61148343658219</v>
      </c>
      <c r="DN138" s="281">
        <v>339.20908958380295</v>
      </c>
      <c r="DO138" s="281">
        <v>628.01478957742779</v>
      </c>
      <c r="DP138" s="281">
        <v>1863.9563020353187</v>
      </c>
      <c r="DQ138" s="281">
        <v>3247.5766854209187</v>
      </c>
      <c r="DR138" s="281">
        <v>8174.02487352149</v>
      </c>
      <c r="DS138" s="281">
        <v>21702.029469258483</v>
      </c>
      <c r="DT138" s="281">
        <v>49030.844717920401</v>
      </c>
      <c r="DU138" s="281">
        <v>18418.280898700541</v>
      </c>
      <c r="DV138" s="281">
        <v>15945.104398728616</v>
      </c>
      <c r="DW138" s="281">
        <v>25895.957955545931</v>
      </c>
      <c r="DX138" s="281">
        <v>35682.605681380956</v>
      </c>
      <c r="DY138" s="281">
        <v>102736.07367177616</v>
      </c>
      <c r="DZ138" s="281"/>
      <c r="EA138" s="281"/>
      <c r="EB138" s="281"/>
      <c r="EC138" s="281"/>
      <c r="ED138" s="281"/>
      <c r="EE138" s="281"/>
      <c r="EF138" s="281"/>
      <c r="EG138" s="281"/>
      <c r="EH138" s="281"/>
      <c r="EI138" s="281"/>
      <c r="EJ138" s="281"/>
      <c r="EK138" s="281"/>
      <c r="EL138" s="281">
        <v>466125.99999999994</v>
      </c>
    </row>
    <row r="139" spans="1:142" x14ac:dyDescent="0.25">
      <c r="A139" s="279" t="s">
        <v>1526</v>
      </c>
      <c r="B139" s="281"/>
      <c r="C139" s="281"/>
      <c r="D139" s="281"/>
      <c r="E139" s="281"/>
      <c r="F139" s="281"/>
      <c r="G139" s="281"/>
      <c r="H139" s="281"/>
      <c r="I139" s="281"/>
      <c r="J139" s="281"/>
      <c r="K139" s="281"/>
      <c r="L139" s="281"/>
      <c r="M139" s="281"/>
      <c r="N139" s="281"/>
      <c r="O139" s="281"/>
      <c r="P139" s="281"/>
      <c r="Q139" s="281"/>
      <c r="R139" s="281"/>
      <c r="S139" s="281"/>
      <c r="T139" s="281"/>
      <c r="U139" s="281"/>
      <c r="V139" s="281"/>
      <c r="W139" s="281"/>
      <c r="X139" s="281"/>
      <c r="Y139" s="281"/>
      <c r="Z139" s="281"/>
      <c r="AA139" s="281"/>
      <c r="AB139" s="281"/>
      <c r="AC139" s="281"/>
      <c r="AD139" s="281"/>
      <c r="AE139" s="281"/>
      <c r="AF139" s="281"/>
      <c r="AG139" s="281"/>
      <c r="AH139" s="281"/>
      <c r="AI139" s="281"/>
      <c r="AJ139" s="281"/>
      <c r="AK139" s="281"/>
      <c r="AL139" s="281"/>
      <c r="AM139" s="281"/>
      <c r="AN139" s="281"/>
      <c r="AO139" s="281"/>
      <c r="AP139" s="281"/>
      <c r="AQ139" s="281"/>
      <c r="AR139" s="281"/>
      <c r="AS139" s="281"/>
      <c r="AT139" s="281"/>
      <c r="AU139" s="281"/>
      <c r="AV139" s="281"/>
      <c r="AW139" s="281"/>
      <c r="AX139" s="281"/>
      <c r="AY139" s="281"/>
      <c r="AZ139" s="281"/>
      <c r="BA139" s="281">
        <v>263.0186299687158</v>
      </c>
      <c r="BB139" s="281">
        <v>15.470742711908654</v>
      </c>
      <c r="BC139" s="281"/>
      <c r="BD139" s="281"/>
      <c r="BE139" s="281">
        <v>108.30053470871631</v>
      </c>
      <c r="BF139" s="281"/>
      <c r="BG139" s="281">
        <v>307.21686251238532</v>
      </c>
      <c r="BH139" s="281"/>
      <c r="BI139" s="281"/>
      <c r="BJ139" s="281"/>
      <c r="BK139" s="281">
        <v>2099.7691833237254</v>
      </c>
      <c r="BL139" s="281">
        <v>351.42259621488836</v>
      </c>
      <c r="BM139" s="281">
        <v>236.48240447848377</v>
      </c>
      <c r="BN139" s="281">
        <v>5629.9292049080441</v>
      </c>
      <c r="BO139" s="281">
        <v>90.615247807129009</v>
      </c>
      <c r="BP139" s="281">
        <v>3004.1627486177567</v>
      </c>
      <c r="BQ139" s="281">
        <v>165.76449070703998</v>
      </c>
      <c r="BR139" s="281">
        <v>426.59389351448476</v>
      </c>
      <c r="BS139" s="281">
        <v>187.86608117070836</v>
      </c>
      <c r="BT139" s="281">
        <v>78.609438142671095</v>
      </c>
      <c r="BU139" s="281">
        <v>166.57167407030968</v>
      </c>
      <c r="BV139" s="281">
        <v>8.9939691861896804</v>
      </c>
      <c r="BW139" s="281">
        <v>797.99518311563884</v>
      </c>
      <c r="BX139" s="281">
        <v>1153.7710027191633</v>
      </c>
      <c r="BY139" s="281">
        <v>1454.1782436067506</v>
      </c>
      <c r="BZ139" s="281">
        <v>1540.8734121507782</v>
      </c>
      <c r="CA139" s="281">
        <v>247.54066802427792</v>
      </c>
      <c r="CB139" s="281">
        <v>742.61339487542705</v>
      </c>
      <c r="CC139" s="281">
        <v>426.63106594197001</v>
      </c>
      <c r="CD139" s="281">
        <v>499.01816095814405</v>
      </c>
      <c r="CE139" s="281">
        <v>503.94208671207195</v>
      </c>
      <c r="CF139" s="281">
        <v>2522.8237820714394</v>
      </c>
      <c r="CG139" s="281">
        <v>747.70653449586734</v>
      </c>
      <c r="CH139" s="281">
        <v>291.73261871151385</v>
      </c>
      <c r="CI139" s="281">
        <v>10669.058993059472</v>
      </c>
      <c r="CJ139" s="281">
        <v>1975.7464732239234</v>
      </c>
      <c r="CK139" s="281">
        <v>170.18454395784067</v>
      </c>
      <c r="CL139" s="281">
        <v>568.03062075157698</v>
      </c>
      <c r="CM139" s="281"/>
      <c r="CN139" s="281"/>
      <c r="CO139" s="281"/>
      <c r="CP139" s="281"/>
      <c r="CQ139" s="281"/>
      <c r="CR139" s="281"/>
      <c r="CS139" s="281"/>
      <c r="CT139" s="281"/>
      <c r="CU139" s="281"/>
      <c r="CV139" s="281"/>
      <c r="CW139" s="281"/>
      <c r="CX139" s="281"/>
      <c r="CY139" s="281"/>
      <c r="CZ139" s="281"/>
      <c r="DA139" s="281"/>
      <c r="DB139" s="281">
        <v>17.365513580987333</v>
      </c>
      <c r="DC139" s="281"/>
      <c r="DD139" s="281"/>
      <c r="DE139" s="281"/>
      <c r="DF139" s="281"/>
      <c r="DG139" s="281"/>
      <c r="DH139" s="281"/>
      <c r="DI139" s="281"/>
      <c r="DJ139" s="281"/>
      <c r="DK139" s="281"/>
      <c r="DL139" s="281"/>
      <c r="DM139" s="281"/>
      <c r="DN139" s="281"/>
      <c r="DO139" s="281"/>
      <c r="DP139" s="281"/>
      <c r="DQ139" s="281"/>
      <c r="DR139" s="281"/>
      <c r="DS139" s="281"/>
      <c r="DT139" s="281"/>
      <c r="DU139" s="281"/>
      <c r="DV139" s="281"/>
      <c r="DW139" s="281"/>
      <c r="DX139" s="281"/>
      <c r="DY139" s="281"/>
      <c r="DZ139" s="281"/>
      <c r="EA139" s="281"/>
      <c r="EB139" s="281"/>
      <c r="EC139" s="281"/>
      <c r="ED139" s="281"/>
      <c r="EE139" s="281"/>
      <c r="EF139" s="281"/>
      <c r="EG139" s="281"/>
      <c r="EH139" s="281"/>
      <c r="EI139" s="281"/>
      <c r="EJ139" s="281"/>
      <c r="EK139" s="281"/>
      <c r="EL139" s="281">
        <v>37470</v>
      </c>
    </row>
    <row r="140" spans="1:142" x14ac:dyDescent="0.25">
      <c r="A140" s="279" t="s">
        <v>1525</v>
      </c>
      <c r="B140" s="281"/>
      <c r="C140" s="281"/>
      <c r="D140" s="281"/>
      <c r="E140" s="281"/>
      <c r="F140" s="281"/>
      <c r="G140" s="281"/>
      <c r="H140" s="281"/>
      <c r="I140" s="281"/>
      <c r="J140" s="281"/>
      <c r="K140" s="281"/>
      <c r="L140" s="281"/>
      <c r="M140" s="281"/>
      <c r="N140" s="281"/>
      <c r="O140" s="281"/>
      <c r="P140" s="281"/>
      <c r="Q140" s="281"/>
      <c r="R140" s="281"/>
      <c r="S140" s="281"/>
      <c r="T140" s="281"/>
      <c r="U140" s="281"/>
      <c r="V140" s="281"/>
      <c r="W140" s="281"/>
      <c r="X140" s="281"/>
      <c r="Y140" s="281"/>
      <c r="Z140" s="281"/>
      <c r="AA140" s="281"/>
      <c r="AB140" s="281"/>
      <c r="AC140" s="281"/>
      <c r="AD140" s="281"/>
      <c r="AE140" s="281"/>
      <c r="AF140" s="281"/>
      <c r="AG140" s="281"/>
      <c r="AH140" s="281"/>
      <c r="AI140" s="281"/>
      <c r="AJ140" s="281"/>
      <c r="AK140" s="281"/>
      <c r="AL140" s="281"/>
      <c r="AM140" s="281"/>
      <c r="AN140" s="281"/>
      <c r="AO140" s="281"/>
      <c r="AP140" s="281"/>
      <c r="AQ140" s="281"/>
      <c r="AR140" s="281"/>
      <c r="AS140" s="281"/>
      <c r="AT140" s="281"/>
      <c r="AU140" s="281"/>
      <c r="AV140" s="281"/>
      <c r="AW140" s="281"/>
      <c r="AX140" s="281"/>
      <c r="AY140" s="281"/>
      <c r="AZ140" s="281"/>
      <c r="BA140" s="281">
        <v>6187.3409729483183</v>
      </c>
      <c r="BB140" s="281">
        <v>690.38050273969577</v>
      </c>
      <c r="BC140" s="281">
        <v>200.71650432834676</v>
      </c>
      <c r="BD140" s="281"/>
      <c r="BE140" s="281">
        <v>1042.0646315784118</v>
      </c>
      <c r="BF140" s="281">
        <v>1661.9808964575886</v>
      </c>
      <c r="BG140" s="281">
        <v>5053.493257097075</v>
      </c>
      <c r="BH140" s="281"/>
      <c r="BI140" s="281"/>
      <c r="BJ140" s="281"/>
      <c r="BK140" s="281">
        <v>16149.45846425468</v>
      </c>
      <c r="BL140" s="281">
        <v>49748.097998724537</v>
      </c>
      <c r="BM140" s="281">
        <v>1052.287392266086</v>
      </c>
      <c r="BN140" s="281">
        <v>5045.9957364314678</v>
      </c>
      <c r="BO140" s="281">
        <v>323.10384677897758</v>
      </c>
      <c r="BP140" s="281">
        <v>789.08751539481386</v>
      </c>
      <c r="BQ140" s="281">
        <v>1635.4955728782156</v>
      </c>
      <c r="BR140" s="281">
        <v>4504.8995160926652</v>
      </c>
      <c r="BS140" s="281">
        <v>2484.4652512530952</v>
      </c>
      <c r="BT140" s="281">
        <v>21272.989127218429</v>
      </c>
      <c r="BU140" s="281">
        <v>23948.819816759911</v>
      </c>
      <c r="BV140" s="281">
        <v>4242.2037593163013</v>
      </c>
      <c r="BW140" s="281">
        <v>5477.6676456754694</v>
      </c>
      <c r="BX140" s="281">
        <v>6907.3678611226705</v>
      </c>
      <c r="BY140" s="281">
        <v>1158.9620586417291</v>
      </c>
      <c r="BZ140" s="281">
        <v>2249.066196333948</v>
      </c>
      <c r="CA140" s="281">
        <v>563.40414367719563</v>
      </c>
      <c r="CB140" s="281">
        <v>2623.6318722306914</v>
      </c>
      <c r="CC140" s="281">
        <v>4306.0377212756748</v>
      </c>
      <c r="CD140" s="281">
        <v>1846.5739129152203</v>
      </c>
      <c r="CE140" s="281">
        <v>2209.3319252678439</v>
      </c>
      <c r="CF140" s="281">
        <v>3397.9938038280166</v>
      </c>
      <c r="CG140" s="281">
        <v>3491.9804421548261</v>
      </c>
      <c r="CH140" s="281">
        <v>3761.6972356958322</v>
      </c>
      <c r="CI140" s="281">
        <v>14737.367778851583</v>
      </c>
      <c r="CJ140" s="281">
        <v>1056.9552529742743</v>
      </c>
      <c r="CK140" s="281">
        <v>1260.2946236013827</v>
      </c>
      <c r="CL140" s="281">
        <v>4061.4005645857087</v>
      </c>
      <c r="CM140" s="281">
        <v>3586.9016216791169</v>
      </c>
      <c r="CN140" s="281">
        <v>1965.6228919438474</v>
      </c>
      <c r="CO140" s="281">
        <v>6413.2735167283845</v>
      </c>
      <c r="CP140" s="281">
        <v>3211.5998118427169</v>
      </c>
      <c r="CQ140" s="281">
        <v>2819.6619992223268</v>
      </c>
      <c r="CR140" s="281">
        <v>-7733.8097043247972</v>
      </c>
      <c r="CS140" s="281">
        <v>2725.4758072874083</v>
      </c>
      <c r="CT140" s="281">
        <v>-40.709428435288459</v>
      </c>
      <c r="CU140" s="281">
        <v>1.4355129507545028</v>
      </c>
      <c r="CV140" s="281">
        <v>615.44406360383925</v>
      </c>
      <c r="CW140" s="281">
        <v>426.05250169428115</v>
      </c>
      <c r="CX140" s="281">
        <v>11928.474092644989</v>
      </c>
      <c r="CY140" s="281">
        <v>27564.086969992484</v>
      </c>
      <c r="CZ140" s="281">
        <v>2927.8875725678813</v>
      </c>
      <c r="DA140" s="281">
        <v>23807.210424681412</v>
      </c>
      <c r="DB140" s="281">
        <v>70.778544569999724</v>
      </c>
      <c r="DC140" s="281"/>
      <c r="DD140" s="281"/>
      <c r="DE140" s="281"/>
      <c r="DF140" s="281"/>
      <c r="DG140" s="281"/>
      <c r="DH140" s="281"/>
      <c r="DI140" s="281"/>
      <c r="DJ140" s="281"/>
      <c r="DK140" s="281"/>
      <c r="DL140" s="281"/>
      <c r="DM140" s="281"/>
      <c r="DN140" s="281"/>
      <c r="DO140" s="281"/>
      <c r="DP140" s="281"/>
      <c r="DQ140" s="281"/>
      <c r="DR140" s="281"/>
      <c r="DS140" s="281"/>
      <c r="DT140" s="281"/>
      <c r="DU140" s="281"/>
      <c r="DV140" s="281"/>
      <c r="DW140" s="281"/>
      <c r="DX140" s="281"/>
      <c r="DY140" s="281"/>
      <c r="DZ140" s="281"/>
      <c r="EA140" s="281"/>
      <c r="EB140" s="281"/>
      <c r="EC140" s="281"/>
      <c r="ED140" s="281"/>
      <c r="EE140" s="281"/>
      <c r="EF140" s="281"/>
      <c r="EG140" s="281"/>
      <c r="EH140" s="281"/>
      <c r="EI140" s="281"/>
      <c r="EJ140" s="281"/>
      <c r="EK140" s="281"/>
      <c r="EL140" s="281">
        <v>285432.00000000017</v>
      </c>
    </row>
    <row r="141" spans="1:142" x14ac:dyDescent="0.25">
      <c r="A141" s="279" t="s">
        <v>1524</v>
      </c>
      <c r="B141" s="281">
        <v>500.48513827479837</v>
      </c>
      <c r="C141" s="281">
        <v>53.151617659182875</v>
      </c>
      <c r="D141" s="281">
        <v>5.4817404209491798</v>
      </c>
      <c r="E141" s="281">
        <v>-607.61647871911464</v>
      </c>
      <c r="F141" s="281">
        <v>-3360.4161962520975</v>
      </c>
      <c r="G141" s="281">
        <v>-3725.9380641750795</v>
      </c>
      <c r="H141" s="281">
        <v>-401.54750030563378</v>
      </c>
      <c r="I141" s="281">
        <v>-26.498171353318511</v>
      </c>
      <c r="J141" s="281">
        <v>-31.783218178302377</v>
      </c>
      <c r="K141" s="281">
        <v>-2.5375945058050131E-2</v>
      </c>
      <c r="L141" s="281">
        <v>-89.938069509245906</v>
      </c>
      <c r="M141" s="281">
        <v>-9.7841709815529612</v>
      </c>
      <c r="N141" s="281">
        <v>-378.99585462927826</v>
      </c>
      <c r="O141" s="281">
        <v>-137.1519794001247</v>
      </c>
      <c r="P141" s="281">
        <v>-18.513116285514734</v>
      </c>
      <c r="Q141" s="281">
        <v>-35.101916285499286</v>
      </c>
      <c r="R141" s="281">
        <v>-325.41299976228083</v>
      </c>
      <c r="S141" s="281">
        <v>-911.4964577503597</v>
      </c>
      <c r="T141" s="281">
        <v>-138.00321345393272</v>
      </c>
      <c r="U141" s="281">
        <v>-7485.1808682530964</v>
      </c>
      <c r="V141" s="281">
        <v>4937.9707556522826</v>
      </c>
      <c r="W141" s="281">
        <v>2175.6239319374599</v>
      </c>
      <c r="X141" s="281">
        <v>130.76807456388869</v>
      </c>
      <c r="Y141" s="281">
        <v>189.36223950774044</v>
      </c>
      <c r="Z141" s="281">
        <v>312.70887084471383</v>
      </c>
      <c r="AA141" s="281">
        <v>502.69816635617633</v>
      </c>
      <c r="AB141" s="281">
        <v>180.52427927509962</v>
      </c>
      <c r="AC141" s="281">
        <v>-10231.256377083197</v>
      </c>
      <c r="AD141" s="281">
        <v>22.867087605447296</v>
      </c>
      <c r="AE141" s="281">
        <v>-371.09030172177074</v>
      </c>
      <c r="AF141" s="281">
        <v>-202.8287551427776</v>
      </c>
      <c r="AG141" s="281">
        <v>-66.843856651167513</v>
      </c>
      <c r="AH141" s="281">
        <v>-779.65852956345861</v>
      </c>
      <c r="AI141" s="281">
        <v>-111.28141803534555</v>
      </c>
      <c r="AJ141" s="281">
        <v>-112.04596720606168</v>
      </c>
      <c r="AK141" s="281">
        <v>-189.91867391179875</v>
      </c>
      <c r="AL141" s="281"/>
      <c r="AM141" s="281">
        <v>-176.93069620834609</v>
      </c>
      <c r="AN141" s="281">
        <v>-396.06215820011437</v>
      </c>
      <c r="AO141" s="281">
        <v>-938.19828302538099</v>
      </c>
      <c r="AP141" s="281">
        <v>-229.09424887587909</v>
      </c>
      <c r="AQ141" s="281">
        <v>-0.74211784192037999</v>
      </c>
      <c r="AR141" s="281">
        <v>-5.3974698904041745</v>
      </c>
      <c r="AS141" s="281">
        <v>-42.656564544969058</v>
      </c>
      <c r="AT141" s="281">
        <v>-99.934425834814533</v>
      </c>
      <c r="AU141" s="281">
        <v>-312.66440948639683</v>
      </c>
      <c r="AV141" s="281">
        <v>-111.46037056267619</v>
      </c>
      <c r="AW141" s="281">
        <v>-150.52096766919271</v>
      </c>
      <c r="AX141" s="281">
        <v>-3369.3414839443358</v>
      </c>
      <c r="AY141" s="281">
        <v>-364.92554561381439</v>
      </c>
      <c r="AZ141" s="281">
        <v>-950.21679479630984</v>
      </c>
      <c r="BA141" s="281"/>
      <c r="BB141" s="281"/>
      <c r="BC141" s="281"/>
      <c r="BD141" s="281"/>
      <c r="BE141" s="281"/>
      <c r="BF141" s="281"/>
      <c r="BG141" s="281"/>
      <c r="BH141" s="281"/>
      <c r="BI141" s="281"/>
      <c r="BJ141" s="281"/>
      <c r="BK141" s="281"/>
      <c r="BL141" s="281"/>
      <c r="BM141" s="281"/>
      <c r="BN141" s="281"/>
      <c r="BO141" s="281"/>
      <c r="BP141" s="281"/>
      <c r="BQ141" s="281"/>
      <c r="BR141" s="281"/>
      <c r="BS141" s="281"/>
      <c r="BT141" s="281"/>
      <c r="BU141" s="281"/>
      <c r="BV141" s="281"/>
      <c r="BW141" s="281"/>
      <c r="BX141" s="281"/>
      <c r="BY141" s="281"/>
      <c r="BZ141" s="281"/>
      <c r="CA141" s="281"/>
      <c r="CB141" s="281"/>
      <c r="CC141" s="281"/>
      <c r="CD141" s="281"/>
      <c r="CE141" s="281"/>
      <c r="CF141" s="281"/>
      <c r="CG141" s="281"/>
      <c r="CH141" s="281"/>
      <c r="CI141" s="281"/>
      <c r="CJ141" s="281"/>
      <c r="CK141" s="281"/>
      <c r="CL141" s="281"/>
      <c r="CM141" s="281"/>
      <c r="CN141" s="281"/>
      <c r="CO141" s="281"/>
      <c r="CP141" s="281"/>
      <c r="CQ141" s="281"/>
      <c r="CR141" s="281"/>
      <c r="CS141" s="281"/>
      <c r="CT141" s="281"/>
      <c r="CU141" s="281"/>
      <c r="CV141" s="281"/>
      <c r="CW141" s="281"/>
      <c r="CX141" s="281"/>
      <c r="CY141" s="281"/>
      <c r="CZ141" s="281"/>
      <c r="DA141" s="281"/>
      <c r="DB141" s="281"/>
      <c r="DC141" s="281"/>
      <c r="DD141" s="281"/>
      <c r="DE141" s="281"/>
      <c r="DF141" s="281"/>
      <c r="DG141" s="281"/>
      <c r="DH141" s="281"/>
      <c r="DI141" s="281"/>
      <c r="DJ141" s="281"/>
      <c r="DK141" s="281"/>
      <c r="DL141" s="281">
        <v>591.54120430370858</v>
      </c>
      <c r="DM141" s="281">
        <v>895.02957931408241</v>
      </c>
      <c r="DN141" s="281">
        <v>1083.7010734697365</v>
      </c>
      <c r="DO141" s="281">
        <v>1289.5598800101425</v>
      </c>
      <c r="DP141" s="281">
        <v>1559.6472218468346</v>
      </c>
      <c r="DQ141" s="281">
        <v>1850.5658746265551</v>
      </c>
      <c r="DR141" s="281">
        <v>2343.511369614414</v>
      </c>
      <c r="DS141" s="281">
        <v>3830.428928266319</v>
      </c>
      <c r="DT141" s="281">
        <v>5810.2919819060844</v>
      </c>
      <c r="DU141" s="281">
        <v>1486.9175586519041</v>
      </c>
      <c r="DV141" s="281">
        <v>1322.7894166380115</v>
      </c>
      <c r="DW141" s="281">
        <v>1443.9392571586502</v>
      </c>
      <c r="DX141" s="281">
        <v>1737.1390354191115</v>
      </c>
      <c r="DY141" s="281">
        <v>2639.768783726327</v>
      </c>
      <c r="DZ141" s="281"/>
      <c r="EA141" s="281"/>
      <c r="EB141" s="281"/>
      <c r="EC141" s="281"/>
      <c r="ED141" s="281"/>
      <c r="EE141" s="281"/>
      <c r="EF141" s="281"/>
      <c r="EG141" s="281"/>
      <c r="EH141" s="281"/>
      <c r="EI141" s="281"/>
      <c r="EJ141" s="281"/>
      <c r="EK141" s="281"/>
      <c r="EL141" s="281">
        <v>-4.5474735088646412E-13</v>
      </c>
    </row>
    <row r="142" spans="1:142" x14ac:dyDescent="0.25">
      <c r="A142" s="279" t="s">
        <v>1523</v>
      </c>
      <c r="B142" s="281"/>
      <c r="C142" s="281"/>
      <c r="D142" s="281"/>
      <c r="E142" s="281">
        <v>-166.26178832017285</v>
      </c>
      <c r="F142" s="281"/>
      <c r="G142" s="281"/>
      <c r="H142" s="281"/>
      <c r="I142" s="281"/>
      <c r="J142" s="281"/>
      <c r="K142" s="281">
        <v>-3.6582095555937278E-4</v>
      </c>
      <c r="L142" s="281"/>
      <c r="M142" s="281"/>
      <c r="N142" s="281"/>
      <c r="O142" s="281"/>
      <c r="P142" s="281"/>
      <c r="Q142" s="281"/>
      <c r="R142" s="281"/>
      <c r="S142" s="281"/>
      <c r="T142" s="281"/>
      <c r="U142" s="281">
        <v>-1233.2162984606432</v>
      </c>
      <c r="V142" s="281">
        <v>-43.824574802172258</v>
      </c>
      <c r="W142" s="281">
        <v>-12.625024201512318</v>
      </c>
      <c r="X142" s="281">
        <v>-8.3548181752701538</v>
      </c>
      <c r="Y142" s="281">
        <v>-1.5005325163861318</v>
      </c>
      <c r="Z142" s="281"/>
      <c r="AA142" s="281"/>
      <c r="AB142" s="281"/>
      <c r="AC142" s="281"/>
      <c r="AD142" s="281"/>
      <c r="AE142" s="281"/>
      <c r="AF142" s="281"/>
      <c r="AG142" s="281"/>
      <c r="AH142" s="281"/>
      <c r="AI142" s="281"/>
      <c r="AJ142" s="281"/>
      <c r="AK142" s="281"/>
      <c r="AL142" s="281">
        <v>1465.7834022971692</v>
      </c>
      <c r="AM142" s="281"/>
      <c r="AN142" s="281"/>
      <c r="AO142" s="281"/>
      <c r="AP142" s="281"/>
      <c r="AQ142" s="281"/>
      <c r="AR142" s="281"/>
      <c r="AS142" s="281"/>
      <c r="AT142" s="281"/>
      <c r="AU142" s="281"/>
      <c r="AV142" s="281"/>
      <c r="AW142" s="281"/>
      <c r="AX142" s="281"/>
      <c r="AY142" s="281"/>
      <c r="AZ142" s="281"/>
      <c r="BA142" s="281"/>
      <c r="BB142" s="281"/>
      <c r="BC142" s="281"/>
      <c r="BD142" s="281"/>
      <c r="BE142" s="281"/>
      <c r="BF142" s="281"/>
      <c r="BG142" s="281"/>
      <c r="BH142" s="281"/>
      <c r="BI142" s="281"/>
      <c r="BJ142" s="281"/>
      <c r="BK142" s="281"/>
      <c r="BL142" s="281"/>
      <c r="BM142" s="281"/>
      <c r="BN142" s="281"/>
      <c r="BO142" s="281"/>
      <c r="BP142" s="281"/>
      <c r="BQ142" s="281"/>
      <c r="BR142" s="281"/>
      <c r="BS142" s="281"/>
      <c r="BT142" s="281"/>
      <c r="BU142" s="281"/>
      <c r="BV142" s="281"/>
      <c r="BW142" s="281"/>
      <c r="BX142" s="281"/>
      <c r="BY142" s="281"/>
      <c r="BZ142" s="281"/>
      <c r="CA142" s="281"/>
      <c r="CB142" s="281"/>
      <c r="CC142" s="281"/>
      <c r="CD142" s="281"/>
      <c r="CE142" s="281"/>
      <c r="CF142" s="281"/>
      <c r="CG142" s="281"/>
      <c r="CH142" s="281"/>
      <c r="CI142" s="281"/>
      <c r="CJ142" s="281"/>
      <c r="CK142" s="281"/>
      <c r="CL142" s="281"/>
      <c r="CM142" s="281"/>
      <c r="CN142" s="281"/>
      <c r="CO142" s="281"/>
      <c r="CP142" s="281"/>
      <c r="CQ142" s="281"/>
      <c r="CR142" s="281"/>
      <c r="CS142" s="281"/>
      <c r="CT142" s="281"/>
      <c r="CU142" s="281"/>
      <c r="CV142" s="281"/>
      <c r="CW142" s="281"/>
      <c r="CX142" s="281"/>
      <c r="CY142" s="281"/>
      <c r="CZ142" s="281"/>
      <c r="DA142" s="281"/>
      <c r="DB142" s="281"/>
      <c r="DC142" s="281"/>
      <c r="DD142" s="281"/>
      <c r="DE142" s="281"/>
      <c r="DF142" s="281"/>
      <c r="DG142" s="281"/>
      <c r="DH142" s="281"/>
      <c r="DI142" s="281"/>
      <c r="DJ142" s="281"/>
      <c r="DK142" s="281"/>
      <c r="DL142" s="281"/>
      <c r="DM142" s="281"/>
      <c r="DN142" s="281"/>
      <c r="DO142" s="281"/>
      <c r="DP142" s="281"/>
      <c r="DQ142" s="281"/>
      <c r="DR142" s="281"/>
      <c r="DS142" s="281"/>
      <c r="DT142" s="281"/>
      <c r="DU142" s="281"/>
      <c r="DV142" s="281"/>
      <c r="DW142" s="281"/>
      <c r="DX142" s="281"/>
      <c r="DY142" s="281"/>
      <c r="DZ142" s="281"/>
      <c r="EA142" s="281"/>
      <c r="EB142" s="281"/>
      <c r="EC142" s="281"/>
      <c r="ED142" s="281"/>
      <c r="EE142" s="281"/>
      <c r="EF142" s="281"/>
      <c r="EG142" s="281"/>
      <c r="EH142" s="281"/>
      <c r="EI142" s="281"/>
      <c r="EJ142" s="281"/>
      <c r="EK142" s="281"/>
      <c r="EL142" s="281">
        <v>5.6843418860808015E-11</v>
      </c>
    </row>
    <row r="143" spans="1:142" x14ac:dyDescent="0.25">
      <c r="A143" s="279" t="s">
        <v>1522</v>
      </c>
      <c r="B143" s="281">
        <v>-4.4498889685890397</v>
      </c>
      <c r="C143" s="281"/>
      <c r="D143" s="281"/>
      <c r="E143" s="281"/>
      <c r="F143" s="281">
        <v>-72.361656245368124</v>
      </c>
      <c r="G143" s="281">
        <v>-496.03892224300853</v>
      </c>
      <c r="H143" s="281">
        <v>-84.090656062626294</v>
      </c>
      <c r="I143" s="281"/>
      <c r="J143" s="281"/>
      <c r="K143" s="281"/>
      <c r="L143" s="281">
        <v>-180.91268752523092</v>
      </c>
      <c r="M143" s="281">
        <v>-33.119042984723364</v>
      </c>
      <c r="N143" s="281">
        <v>-770.28891926113738</v>
      </c>
      <c r="O143" s="281">
        <v>-209.42563369192945</v>
      </c>
      <c r="P143" s="281">
        <v>-13.383052935915064</v>
      </c>
      <c r="Q143" s="281">
        <v>-3.8846743872150435</v>
      </c>
      <c r="R143" s="281">
        <v>-511.93050893054976</v>
      </c>
      <c r="S143" s="281">
        <v>1585.7144659433038</v>
      </c>
      <c r="T143" s="281">
        <v>-78.988801868255422</v>
      </c>
      <c r="U143" s="281"/>
      <c r="V143" s="281"/>
      <c r="W143" s="281"/>
      <c r="X143" s="281"/>
      <c r="Y143" s="281"/>
      <c r="Z143" s="281">
        <v>-11.257517066677321</v>
      </c>
      <c r="AA143" s="281">
        <v>-751.22355566594354</v>
      </c>
      <c r="AB143" s="281">
        <v>-161.54016801791613</v>
      </c>
      <c r="AC143" s="281">
        <v>-19.721924567861212</v>
      </c>
      <c r="AD143" s="281">
        <v>-2.6433989290739817</v>
      </c>
      <c r="AE143" s="281">
        <v>-90.744621482819468</v>
      </c>
      <c r="AF143" s="281">
        <v>-49.761362873002724</v>
      </c>
      <c r="AG143" s="281">
        <v>-12.568338505345672</v>
      </c>
      <c r="AH143" s="281">
        <v>-11.288948027286565</v>
      </c>
      <c r="AI143" s="281">
        <v>-14.924337877029684</v>
      </c>
      <c r="AJ143" s="281">
        <v>-84.652603077747216</v>
      </c>
      <c r="AK143" s="281">
        <v>-36.252667242576088</v>
      </c>
      <c r="AL143" s="281"/>
      <c r="AM143" s="281">
        <v>832.56622874358175</v>
      </c>
      <c r="AN143" s="281"/>
      <c r="AO143" s="281"/>
      <c r="AP143" s="281">
        <v>32.348681566361286</v>
      </c>
      <c r="AQ143" s="281"/>
      <c r="AR143" s="281"/>
      <c r="AS143" s="281">
        <v>82.968028198235714</v>
      </c>
      <c r="AT143" s="281"/>
      <c r="AU143" s="281"/>
      <c r="AV143" s="281">
        <v>69.715023137081644</v>
      </c>
      <c r="AW143" s="281"/>
      <c r="AX143" s="281">
        <v>105.396264915535</v>
      </c>
      <c r="AY143" s="281">
        <v>385.60144933748074</v>
      </c>
      <c r="AZ143" s="281">
        <v>92.873720960769347</v>
      </c>
      <c r="BA143" s="281"/>
      <c r="BB143" s="281"/>
      <c r="BC143" s="281"/>
      <c r="BD143" s="281"/>
      <c r="BE143" s="281"/>
      <c r="BF143" s="281"/>
      <c r="BG143" s="281"/>
      <c r="BH143" s="281"/>
      <c r="BI143" s="281"/>
      <c r="BJ143" s="281"/>
      <c r="BK143" s="281"/>
      <c r="BL143" s="281"/>
      <c r="BM143" s="281"/>
      <c r="BN143" s="281"/>
      <c r="BO143" s="281"/>
      <c r="BP143" s="281"/>
      <c r="BQ143" s="281"/>
      <c r="BR143" s="281"/>
      <c r="BS143" s="281"/>
      <c r="BT143" s="281"/>
      <c r="BU143" s="281"/>
      <c r="BV143" s="281"/>
      <c r="BW143" s="281"/>
      <c r="BX143" s="281"/>
      <c r="BY143" s="281"/>
      <c r="BZ143" s="281"/>
      <c r="CA143" s="281"/>
      <c r="CB143" s="281"/>
      <c r="CC143" s="281"/>
      <c r="CD143" s="281"/>
      <c r="CE143" s="281"/>
      <c r="CF143" s="281"/>
      <c r="CG143" s="281"/>
      <c r="CH143" s="281"/>
      <c r="CI143" s="281"/>
      <c r="CJ143" s="281"/>
      <c r="CK143" s="281"/>
      <c r="CL143" s="281"/>
      <c r="CM143" s="281"/>
      <c r="CN143" s="281"/>
      <c r="CO143" s="281"/>
      <c r="CP143" s="281"/>
      <c r="CQ143" s="281"/>
      <c r="CR143" s="281"/>
      <c r="CS143" s="281"/>
      <c r="CT143" s="281"/>
      <c r="CU143" s="281"/>
      <c r="CV143" s="281"/>
      <c r="CW143" s="281"/>
      <c r="CX143" s="281"/>
      <c r="CY143" s="281"/>
      <c r="CZ143" s="281"/>
      <c r="DA143" s="281"/>
      <c r="DB143" s="281"/>
      <c r="DC143" s="281"/>
      <c r="DD143" s="281"/>
      <c r="DE143" s="281"/>
      <c r="DF143" s="281"/>
      <c r="DG143" s="281"/>
      <c r="DH143" s="281"/>
      <c r="DI143" s="281"/>
      <c r="DJ143" s="281"/>
      <c r="DK143" s="281"/>
      <c r="DL143" s="281">
        <v>26.57228565681611</v>
      </c>
      <c r="DM143" s="281">
        <v>44.901546378405094</v>
      </c>
      <c r="DN143" s="281">
        <v>119.72145794387561</v>
      </c>
      <c r="DO143" s="281">
        <v>109.279942491109</v>
      </c>
      <c r="DP143" s="281">
        <v>104.86320385630009</v>
      </c>
      <c r="DQ143" s="281">
        <v>28.380776831584413</v>
      </c>
      <c r="DR143" s="281">
        <v>18.040630155621798</v>
      </c>
      <c r="DS143" s="281">
        <v>4.8808216223089538</v>
      </c>
      <c r="DT143" s="281">
        <v>9.6176189425374492</v>
      </c>
      <c r="DU143" s="281"/>
      <c r="DV143" s="281"/>
      <c r="DW143" s="281"/>
      <c r="DX143" s="281">
        <v>13.946234206247137</v>
      </c>
      <c r="DY143" s="281">
        <v>38.065507550671967</v>
      </c>
      <c r="DZ143" s="281"/>
      <c r="EA143" s="281"/>
      <c r="EB143" s="281"/>
      <c r="EC143" s="281"/>
      <c r="ED143" s="281"/>
      <c r="EE143" s="281"/>
      <c r="EF143" s="281"/>
      <c r="EG143" s="281"/>
      <c r="EH143" s="281"/>
      <c r="EI143" s="281"/>
      <c r="EJ143" s="281"/>
      <c r="EK143" s="281"/>
      <c r="EL143" s="281">
        <v>-9.6633812063373625E-13</v>
      </c>
    </row>
    <row r="144" spans="1:142" x14ac:dyDescent="0.25">
      <c r="A144" s="279" t="s">
        <v>1521</v>
      </c>
      <c r="B144" s="281"/>
      <c r="C144" s="281"/>
      <c r="D144" s="281"/>
      <c r="E144" s="281"/>
      <c r="F144" s="281"/>
      <c r="G144" s="281"/>
      <c r="H144" s="281"/>
      <c r="I144" s="281"/>
      <c r="J144" s="281"/>
      <c r="K144" s="281"/>
      <c r="L144" s="281"/>
      <c r="M144" s="281"/>
      <c r="N144" s="281"/>
      <c r="O144" s="281"/>
      <c r="P144" s="281"/>
      <c r="Q144" s="281"/>
      <c r="R144" s="281"/>
      <c r="S144" s="281"/>
      <c r="T144" s="281"/>
      <c r="U144" s="281"/>
      <c r="V144" s="281"/>
      <c r="W144" s="281"/>
      <c r="X144" s="281"/>
      <c r="Y144" s="281"/>
      <c r="Z144" s="281"/>
      <c r="AA144" s="281"/>
      <c r="AB144" s="281"/>
      <c r="AC144" s="281"/>
      <c r="AD144" s="281"/>
      <c r="AE144" s="281"/>
      <c r="AF144" s="281"/>
      <c r="AG144" s="281"/>
      <c r="AH144" s="281"/>
      <c r="AI144" s="281"/>
      <c r="AJ144" s="281"/>
      <c r="AK144" s="281"/>
      <c r="AL144" s="281"/>
      <c r="AM144" s="281"/>
      <c r="AN144" s="281"/>
      <c r="AO144" s="281"/>
      <c r="AP144" s="281"/>
      <c r="AQ144" s="281"/>
      <c r="AR144" s="281"/>
      <c r="AS144" s="281"/>
      <c r="AT144" s="281"/>
      <c r="AU144" s="281"/>
      <c r="AV144" s="281"/>
      <c r="AW144" s="281"/>
      <c r="AX144" s="281"/>
      <c r="AY144" s="281"/>
      <c r="AZ144" s="281"/>
      <c r="BA144" s="281"/>
      <c r="BB144" s="281"/>
      <c r="BC144" s="281"/>
      <c r="BD144" s="281"/>
      <c r="BE144" s="281"/>
      <c r="BF144" s="281"/>
      <c r="BG144" s="281"/>
      <c r="BH144" s="281"/>
      <c r="BI144" s="281"/>
      <c r="BJ144" s="281"/>
      <c r="BK144" s="281"/>
      <c r="BL144" s="281"/>
      <c r="BM144" s="281"/>
      <c r="BN144" s="281"/>
      <c r="BO144" s="281"/>
      <c r="BP144" s="281"/>
      <c r="BQ144" s="281"/>
      <c r="BR144" s="281"/>
      <c r="BS144" s="281"/>
      <c r="BT144" s="281"/>
      <c r="BU144" s="281"/>
      <c r="BV144" s="281"/>
      <c r="BW144" s="281"/>
      <c r="BX144" s="281"/>
      <c r="BY144" s="281"/>
      <c r="BZ144" s="281"/>
      <c r="CA144" s="281"/>
      <c r="CB144" s="281"/>
      <c r="CC144" s="281"/>
      <c r="CD144" s="281"/>
      <c r="CE144" s="281"/>
      <c r="CF144" s="281"/>
      <c r="CG144" s="281"/>
      <c r="CH144" s="281"/>
      <c r="CI144" s="281"/>
      <c r="CJ144" s="281"/>
      <c r="CK144" s="281"/>
      <c r="CL144" s="281"/>
      <c r="CM144" s="281"/>
      <c r="CN144" s="281"/>
      <c r="CO144" s="281"/>
      <c r="CP144" s="281"/>
      <c r="CQ144" s="281"/>
      <c r="CR144" s="281"/>
      <c r="CS144" s="281"/>
      <c r="CT144" s="281"/>
      <c r="CU144" s="281"/>
      <c r="CV144" s="281"/>
      <c r="CW144" s="281"/>
      <c r="CX144" s="281"/>
      <c r="CY144" s="281"/>
      <c r="CZ144" s="281"/>
      <c r="DA144" s="281"/>
      <c r="DB144" s="281"/>
      <c r="DC144" s="281"/>
      <c r="DD144" s="281"/>
      <c r="DE144" s="281"/>
      <c r="DF144" s="281"/>
      <c r="DG144" s="281"/>
      <c r="DH144" s="281"/>
      <c r="DI144" s="281"/>
      <c r="DJ144" s="281">
        <v>436328.25792782538</v>
      </c>
      <c r="DK144" s="281">
        <v>17458.306825580035</v>
      </c>
      <c r="DL144" s="281">
        <v>1.9717085470499331</v>
      </c>
      <c r="DM144" s="281">
        <v>22.115410123168143</v>
      </c>
      <c r="DN144" s="281">
        <v>65.526995093414016</v>
      </c>
      <c r="DO144" s="281">
        <v>57.608605111535027</v>
      </c>
      <c r="DP144" s="281">
        <v>94.36264041491583</v>
      </c>
      <c r="DQ144" s="281">
        <v>206.59812029744032</v>
      </c>
      <c r="DR144" s="281">
        <v>464.78703571319016</v>
      </c>
      <c r="DS144" s="281">
        <v>862.58643185361336</v>
      </c>
      <c r="DT144" s="281">
        <v>2372.3625141053089</v>
      </c>
      <c r="DU144" s="281">
        <v>418.46048951260451</v>
      </c>
      <c r="DV144" s="281">
        <v>959.53390407785412</v>
      </c>
      <c r="DW144" s="281">
        <v>2022.3224545248979</v>
      </c>
      <c r="DX144" s="281">
        <v>2537.3143342656431</v>
      </c>
      <c r="DY144" s="281">
        <v>6838.4493563593642</v>
      </c>
      <c r="DZ144" s="281">
        <v>15596</v>
      </c>
      <c r="EA144" s="281"/>
      <c r="EB144" s="281"/>
      <c r="EC144" s="281"/>
      <c r="ED144" s="281"/>
      <c r="EE144" s="281"/>
      <c r="EF144" s="281"/>
      <c r="EG144" s="281"/>
      <c r="EH144" s="281"/>
      <c r="EI144" s="281"/>
      <c r="EJ144" s="281"/>
      <c r="EK144" s="281">
        <v>156998.4428951802</v>
      </c>
      <c r="EL144" s="281">
        <v>643305.0076485856</v>
      </c>
    </row>
    <row r="145" spans="1:142" x14ac:dyDescent="0.25">
      <c r="A145" s="279" t="s">
        <v>1520</v>
      </c>
      <c r="B145" s="281"/>
      <c r="C145" s="281"/>
      <c r="D145" s="281"/>
      <c r="E145" s="281"/>
      <c r="F145" s="281"/>
      <c r="G145" s="281"/>
      <c r="H145" s="281"/>
      <c r="I145" s="281"/>
      <c r="J145" s="281"/>
      <c r="K145" s="281"/>
      <c r="L145" s="281"/>
      <c r="M145" s="281"/>
      <c r="N145" s="281"/>
      <c r="O145" s="281"/>
      <c r="P145" s="281"/>
      <c r="Q145" s="281"/>
      <c r="R145" s="281"/>
      <c r="S145" s="281"/>
      <c r="T145" s="281"/>
      <c r="U145" s="281"/>
      <c r="V145" s="281"/>
      <c r="W145" s="281"/>
      <c r="X145" s="281"/>
      <c r="Y145" s="281"/>
      <c r="Z145" s="281"/>
      <c r="AA145" s="281"/>
      <c r="AB145" s="281"/>
      <c r="AC145" s="281"/>
      <c r="AD145" s="281"/>
      <c r="AE145" s="281"/>
      <c r="AF145" s="281"/>
      <c r="AG145" s="281"/>
      <c r="AH145" s="281"/>
      <c r="AI145" s="281"/>
      <c r="AJ145" s="281"/>
      <c r="AK145" s="281"/>
      <c r="AL145" s="281"/>
      <c r="AM145" s="281"/>
      <c r="AN145" s="281"/>
      <c r="AO145" s="281"/>
      <c r="AP145" s="281"/>
      <c r="AQ145" s="281"/>
      <c r="AR145" s="281"/>
      <c r="AS145" s="281"/>
      <c r="AT145" s="281"/>
      <c r="AU145" s="281"/>
      <c r="AV145" s="281"/>
      <c r="AW145" s="281"/>
      <c r="AX145" s="281"/>
      <c r="AY145" s="281"/>
      <c r="AZ145" s="281"/>
      <c r="BA145" s="281"/>
      <c r="BB145" s="281"/>
      <c r="BC145" s="281"/>
      <c r="BD145" s="281"/>
      <c r="BE145" s="281"/>
      <c r="BF145" s="281"/>
      <c r="BG145" s="281"/>
      <c r="BH145" s="281"/>
      <c r="BI145" s="281"/>
      <c r="BJ145" s="281"/>
      <c r="BK145" s="281"/>
      <c r="BL145" s="281"/>
      <c r="BM145" s="281"/>
      <c r="BN145" s="281"/>
      <c r="BO145" s="281"/>
      <c r="BP145" s="281"/>
      <c r="BQ145" s="281"/>
      <c r="BR145" s="281"/>
      <c r="BS145" s="281"/>
      <c r="BT145" s="281"/>
      <c r="BU145" s="281"/>
      <c r="BV145" s="281"/>
      <c r="BW145" s="281"/>
      <c r="BX145" s="281"/>
      <c r="BY145" s="281"/>
      <c r="BZ145" s="281"/>
      <c r="CA145" s="281"/>
      <c r="CB145" s="281"/>
      <c r="CC145" s="281"/>
      <c r="CD145" s="281"/>
      <c r="CE145" s="281"/>
      <c r="CF145" s="281"/>
      <c r="CG145" s="281"/>
      <c r="CH145" s="281"/>
      <c r="CI145" s="281"/>
      <c r="CJ145" s="281"/>
      <c r="CK145" s="281"/>
      <c r="CL145" s="281"/>
      <c r="CM145" s="281"/>
      <c r="CN145" s="281"/>
      <c r="CO145" s="281"/>
      <c r="CP145" s="281"/>
      <c r="CQ145" s="281"/>
      <c r="CR145" s="281"/>
      <c r="CS145" s="281"/>
      <c r="CT145" s="281"/>
      <c r="CU145" s="281"/>
      <c r="CV145" s="281"/>
      <c r="CW145" s="281"/>
      <c r="CX145" s="281"/>
      <c r="CY145" s="281"/>
      <c r="CZ145" s="281"/>
      <c r="DA145" s="281"/>
      <c r="DB145" s="281"/>
      <c r="DC145" s="281"/>
      <c r="DD145" s="281"/>
      <c r="DE145" s="281"/>
      <c r="DF145" s="281"/>
      <c r="DG145" s="281"/>
      <c r="DH145" s="281"/>
      <c r="DI145" s="281"/>
      <c r="DJ145" s="281"/>
      <c r="DK145" s="281">
        <v>31077.435246594669</v>
      </c>
      <c r="DL145" s="281"/>
      <c r="DM145" s="281"/>
      <c r="DN145" s="281"/>
      <c r="DO145" s="281"/>
      <c r="DP145" s="281"/>
      <c r="DQ145" s="281"/>
      <c r="DR145" s="281"/>
      <c r="DS145" s="281"/>
      <c r="DT145" s="281"/>
      <c r="DU145" s="281"/>
      <c r="DV145" s="281"/>
      <c r="DW145" s="281"/>
      <c r="DX145" s="281"/>
      <c r="DY145" s="281"/>
      <c r="DZ145" s="281"/>
      <c r="EA145" s="281"/>
      <c r="EB145" s="281"/>
      <c r="EC145" s="281"/>
      <c r="ED145" s="281"/>
      <c r="EE145" s="281"/>
      <c r="EF145" s="281"/>
      <c r="EG145" s="281"/>
      <c r="EH145" s="281"/>
      <c r="EI145" s="281"/>
      <c r="EJ145" s="281"/>
      <c r="EK145" s="281"/>
      <c r="EL145" s="281">
        <v>31077.435246594669</v>
      </c>
    </row>
    <row r="146" spans="1:142" x14ac:dyDescent="0.25">
      <c r="A146" s="279" t="s">
        <v>1519</v>
      </c>
      <c r="B146" s="281"/>
      <c r="C146" s="281"/>
      <c r="D146" s="281"/>
      <c r="E146" s="281"/>
      <c r="F146" s="281"/>
      <c r="G146" s="281"/>
      <c r="H146" s="281"/>
      <c r="I146" s="281"/>
      <c r="J146" s="281"/>
      <c r="K146" s="281"/>
      <c r="L146" s="281"/>
      <c r="M146" s="281"/>
      <c r="N146" s="281"/>
      <c r="O146" s="281"/>
      <c r="P146" s="281"/>
      <c r="Q146" s="281"/>
      <c r="R146" s="281"/>
      <c r="S146" s="281"/>
      <c r="T146" s="281"/>
      <c r="U146" s="281"/>
      <c r="V146" s="281"/>
      <c r="W146" s="281"/>
      <c r="X146" s="281"/>
      <c r="Y146" s="281"/>
      <c r="Z146" s="281"/>
      <c r="AA146" s="281"/>
      <c r="AB146" s="281"/>
      <c r="AC146" s="281"/>
      <c r="AD146" s="281"/>
      <c r="AE146" s="281"/>
      <c r="AF146" s="281"/>
      <c r="AG146" s="281"/>
      <c r="AH146" s="281"/>
      <c r="AI146" s="281"/>
      <c r="AJ146" s="281"/>
      <c r="AK146" s="281"/>
      <c r="AL146" s="281"/>
      <c r="AM146" s="281"/>
      <c r="AN146" s="281"/>
      <c r="AO146" s="281"/>
      <c r="AP146" s="281"/>
      <c r="AQ146" s="281"/>
      <c r="AR146" s="281"/>
      <c r="AS146" s="281"/>
      <c r="AT146" s="281"/>
      <c r="AU146" s="281"/>
      <c r="AV146" s="281"/>
      <c r="AW146" s="281"/>
      <c r="AX146" s="281"/>
      <c r="AY146" s="281"/>
      <c r="AZ146" s="281"/>
      <c r="BA146" s="281"/>
      <c r="BB146" s="281"/>
      <c r="BC146" s="281"/>
      <c r="BD146" s="281"/>
      <c r="BE146" s="281"/>
      <c r="BF146" s="281"/>
      <c r="BG146" s="281"/>
      <c r="BH146" s="281"/>
      <c r="BI146" s="281"/>
      <c r="BJ146" s="281"/>
      <c r="BK146" s="281"/>
      <c r="BL146" s="281"/>
      <c r="BM146" s="281"/>
      <c r="BN146" s="281"/>
      <c r="BO146" s="281"/>
      <c r="BP146" s="281"/>
      <c r="BQ146" s="281"/>
      <c r="BR146" s="281"/>
      <c r="BS146" s="281"/>
      <c r="BT146" s="281"/>
      <c r="BU146" s="281"/>
      <c r="BV146" s="281"/>
      <c r="BW146" s="281"/>
      <c r="BX146" s="281"/>
      <c r="BY146" s="281"/>
      <c r="BZ146" s="281"/>
      <c r="CA146" s="281"/>
      <c r="CB146" s="281"/>
      <c r="CC146" s="281"/>
      <c r="CD146" s="281"/>
      <c r="CE146" s="281"/>
      <c r="CF146" s="281"/>
      <c r="CG146" s="281"/>
      <c r="CH146" s="281"/>
      <c r="CI146" s="281"/>
      <c r="CJ146" s="281"/>
      <c r="CK146" s="281"/>
      <c r="CL146" s="281"/>
      <c r="CM146" s="281"/>
      <c r="CN146" s="281"/>
      <c r="CO146" s="281"/>
      <c r="CP146" s="281"/>
      <c r="CQ146" s="281"/>
      <c r="CR146" s="281"/>
      <c r="CS146" s="281"/>
      <c r="CT146" s="281"/>
      <c r="CU146" s="281"/>
      <c r="CV146" s="281"/>
      <c r="CW146" s="281"/>
      <c r="CX146" s="281"/>
      <c r="CY146" s="281"/>
      <c r="CZ146" s="281"/>
      <c r="DA146" s="281"/>
      <c r="DB146" s="281"/>
      <c r="DC146" s="281"/>
      <c r="DD146" s="281"/>
      <c r="DE146" s="281"/>
      <c r="DF146" s="281"/>
      <c r="DG146" s="281"/>
      <c r="DH146" s="281"/>
      <c r="DI146" s="281"/>
      <c r="DJ146" s="281"/>
      <c r="DK146" s="281"/>
      <c r="DL146" s="281"/>
      <c r="DM146" s="281"/>
      <c r="DN146" s="281"/>
      <c r="DO146" s="281"/>
      <c r="DP146" s="281"/>
      <c r="DQ146" s="281"/>
      <c r="DR146" s="281"/>
      <c r="DS146" s="281"/>
      <c r="DT146" s="281"/>
      <c r="DU146" s="281"/>
      <c r="DV146" s="281"/>
      <c r="DW146" s="281"/>
      <c r="DX146" s="281"/>
      <c r="DY146" s="281"/>
      <c r="DZ146" s="281"/>
      <c r="EA146" s="281"/>
      <c r="EB146" s="281"/>
      <c r="EC146" s="281"/>
      <c r="ED146" s="281"/>
      <c r="EE146" s="281"/>
      <c r="EF146" s="281"/>
      <c r="EG146" s="281"/>
      <c r="EH146" s="281">
        <v>59877.442895178559</v>
      </c>
      <c r="EI146" s="281"/>
      <c r="EJ146" s="281"/>
      <c r="EK146" s="281"/>
      <c r="EL146" s="281">
        <v>59877.442895178559</v>
      </c>
    </row>
    <row r="147" spans="1:142" x14ac:dyDescent="0.25">
      <c r="A147" s="279" t="s">
        <v>1518</v>
      </c>
      <c r="B147" s="281"/>
      <c r="C147" s="281"/>
      <c r="D147" s="281"/>
      <c r="E147" s="281"/>
      <c r="F147" s="281"/>
      <c r="G147" s="281"/>
      <c r="H147" s="281"/>
      <c r="I147" s="281"/>
      <c r="J147" s="281"/>
      <c r="K147" s="281"/>
      <c r="L147" s="281"/>
      <c r="M147" s="281"/>
      <c r="N147" s="281"/>
      <c r="O147" s="281"/>
      <c r="P147" s="281"/>
      <c r="Q147" s="281"/>
      <c r="R147" s="281"/>
      <c r="S147" s="281"/>
      <c r="T147" s="281"/>
      <c r="U147" s="281"/>
      <c r="V147" s="281"/>
      <c r="W147" s="281"/>
      <c r="X147" s="281"/>
      <c r="Y147" s="281"/>
      <c r="Z147" s="281"/>
      <c r="AA147" s="281"/>
      <c r="AB147" s="281"/>
      <c r="AC147" s="281"/>
      <c r="AD147" s="281"/>
      <c r="AE147" s="281"/>
      <c r="AF147" s="281"/>
      <c r="AG147" s="281"/>
      <c r="AH147" s="281"/>
      <c r="AI147" s="281"/>
      <c r="AJ147" s="281"/>
      <c r="AK147" s="281"/>
      <c r="AL147" s="281"/>
      <c r="AM147" s="281"/>
      <c r="AN147" s="281"/>
      <c r="AO147" s="281"/>
      <c r="AP147" s="281"/>
      <c r="AQ147" s="281"/>
      <c r="AR147" s="281"/>
      <c r="AS147" s="281"/>
      <c r="AT147" s="281"/>
      <c r="AU147" s="281"/>
      <c r="AV147" s="281"/>
      <c r="AW147" s="281"/>
      <c r="AX147" s="281"/>
      <c r="AY147" s="281"/>
      <c r="AZ147" s="281"/>
      <c r="BA147" s="281">
        <v>11488.321597935892</v>
      </c>
      <c r="BB147" s="281">
        <v>236.11860326772111</v>
      </c>
      <c r="BC147" s="281">
        <v>119.13739537291266</v>
      </c>
      <c r="BD147" s="281"/>
      <c r="BE147" s="281">
        <v>387.1786266975837</v>
      </c>
      <c r="BF147" s="281">
        <v>3138.1305231429019</v>
      </c>
      <c r="BG147" s="281">
        <v>10973.943101240671</v>
      </c>
      <c r="BH147" s="281">
        <v>76027.815379690306</v>
      </c>
      <c r="BI147" s="281">
        <v>12439.359524853513</v>
      </c>
      <c r="BJ147" s="281"/>
      <c r="BK147" s="281">
        <v>35908.792597679749</v>
      </c>
      <c r="BL147" s="281">
        <v>5426.9725830789594</v>
      </c>
      <c r="BM147" s="281">
        <v>4112.63474928715</v>
      </c>
      <c r="BN147" s="281">
        <v>34902.596477955747</v>
      </c>
      <c r="BO147" s="281">
        <v>2776.7536459394378</v>
      </c>
      <c r="BP147" s="281">
        <v>8575.3597131334463</v>
      </c>
      <c r="BQ147" s="281">
        <v>3060.3274554337281</v>
      </c>
      <c r="BR147" s="281">
        <v>9479.97766880366</v>
      </c>
      <c r="BS147" s="281">
        <v>3322.8405747617931</v>
      </c>
      <c r="BT147" s="281">
        <v>12982.002150318584</v>
      </c>
      <c r="BU147" s="281">
        <v>27508.577621916695</v>
      </c>
      <c r="BV147" s="281">
        <v>1485.3143601294043</v>
      </c>
      <c r="BW147" s="281">
        <v>45486.002706840853</v>
      </c>
      <c r="BX147" s="281">
        <v>38214.607829584405</v>
      </c>
      <c r="BY147" s="281">
        <v>10294.392625396753</v>
      </c>
      <c r="BZ147" s="281">
        <v>9042.1970657749043</v>
      </c>
      <c r="CA147" s="281">
        <v>2740.9157608804694</v>
      </c>
      <c r="CB147" s="281">
        <v>7196.7602611434068</v>
      </c>
      <c r="CC147" s="281">
        <v>15304.171977152371</v>
      </c>
      <c r="CD147" s="281">
        <v>38275.319056605134</v>
      </c>
      <c r="CE147" s="281">
        <v>21499.961129778807</v>
      </c>
      <c r="CF147" s="281">
        <v>122695.11522531725</v>
      </c>
      <c r="CG147" s="281">
        <v>51630.741627293653</v>
      </c>
      <c r="CH147" s="281">
        <v>77597.511874622709</v>
      </c>
      <c r="CI147" s="281">
        <v>112595.01686636747</v>
      </c>
      <c r="CJ147" s="281">
        <v>19651.003317829036</v>
      </c>
      <c r="CK147" s="281">
        <v>5445.1751118087823</v>
      </c>
      <c r="CL147" s="281">
        <v>14683.507132962079</v>
      </c>
      <c r="CM147" s="281">
        <v>1715.2659900908193</v>
      </c>
      <c r="CN147" s="281">
        <v>341.20886541886711</v>
      </c>
      <c r="CO147" s="281">
        <v>747.13407998896946</v>
      </c>
      <c r="CP147" s="281">
        <v>2351.1522531683945</v>
      </c>
      <c r="CQ147" s="281">
        <v>27960.54342148783</v>
      </c>
      <c r="CR147" s="281">
        <v>27743.369359289969</v>
      </c>
      <c r="CS147" s="281">
        <v>10446.786179537437</v>
      </c>
      <c r="CT147" s="281">
        <v>146.03626836773762</v>
      </c>
      <c r="CU147" s="281">
        <v>5.5023408442633546</v>
      </c>
      <c r="CV147" s="281">
        <v>1644.476680221481</v>
      </c>
      <c r="CW147" s="281">
        <v>706.7273245574039</v>
      </c>
      <c r="CX147" s="281">
        <v>8478.3634326894171</v>
      </c>
      <c r="CY147" s="281">
        <v>48385.926520338384</v>
      </c>
      <c r="CZ147" s="281">
        <v>344.75119061190969</v>
      </c>
      <c r="DA147" s="281">
        <v>21523.816714054712</v>
      </c>
      <c r="DB147" s="281">
        <v>4716.0122325094153</v>
      </c>
      <c r="DC147" s="281"/>
      <c r="DD147" s="281">
        <v>589.7627470477322</v>
      </c>
      <c r="DE147" s="281">
        <v>1071.6832422143732</v>
      </c>
      <c r="DF147" s="281">
        <v>2725.0304888176092</v>
      </c>
      <c r="DG147" s="281">
        <v>6457.5235219202859</v>
      </c>
      <c r="DH147" s="281">
        <v>118127.61145088775</v>
      </c>
      <c r="DI147" s="281"/>
      <c r="DJ147" s="281"/>
      <c r="DK147" s="281">
        <v>7865.3885491122601</v>
      </c>
      <c r="DL147" s="281">
        <v>11.996298521358408</v>
      </c>
      <c r="DM147" s="281">
        <v>33.557087034223841</v>
      </c>
      <c r="DN147" s="281">
        <v>55.455996268278128</v>
      </c>
      <c r="DO147" s="281">
        <v>82.336170491112043</v>
      </c>
      <c r="DP147" s="281">
        <v>126.60122797815161</v>
      </c>
      <c r="DQ147" s="281">
        <v>158.93224865817766</v>
      </c>
      <c r="DR147" s="281">
        <v>357.05787362884394</v>
      </c>
      <c r="DS147" s="281">
        <v>672.91831501905665</v>
      </c>
      <c r="DT147" s="281">
        <v>2467.7511575651361</v>
      </c>
      <c r="DU147" s="281">
        <v>618.40313887849277</v>
      </c>
      <c r="DV147" s="281">
        <v>924.58768613907182</v>
      </c>
      <c r="DW147" s="281">
        <v>914.33938009130156</v>
      </c>
      <c r="DX147" s="281">
        <v>703.87432374950902</v>
      </c>
      <c r="DY147" s="281">
        <v>1600.1890959772859</v>
      </c>
      <c r="DZ147" s="281">
        <v>35732</v>
      </c>
      <c r="EA147" s="281"/>
      <c r="EB147" s="281"/>
      <c r="EC147" s="281"/>
      <c r="ED147" s="281"/>
      <c r="EE147" s="281"/>
      <c r="EF147" s="281"/>
      <c r="EG147" s="281"/>
      <c r="EH147" s="281"/>
      <c r="EI147" s="281"/>
      <c r="EJ147" s="281"/>
      <c r="EK147" s="281"/>
      <c r="EL147" s="281">
        <v>1195258.6267731746</v>
      </c>
    </row>
    <row r="148" spans="1:142" x14ac:dyDescent="0.25">
      <c r="A148" s="279" t="s">
        <v>1517</v>
      </c>
      <c r="B148" s="281">
        <v>158068.43043290667</v>
      </c>
      <c r="C148" s="281">
        <v>17544.364776202463</v>
      </c>
      <c r="D148" s="281">
        <v>4528.0377111453772</v>
      </c>
      <c r="E148" s="281">
        <v>107424.76125085723</v>
      </c>
      <c r="F148" s="281">
        <v>80856.433778936684</v>
      </c>
      <c r="G148" s="281">
        <v>226017.79525409953</v>
      </c>
      <c r="H148" s="281">
        <v>58592.311714347961</v>
      </c>
      <c r="I148" s="281">
        <v>3874.0705878687036</v>
      </c>
      <c r="J148" s="281">
        <v>4646.7519999999895</v>
      </c>
      <c r="K148" s="281">
        <v>0.99999999999999989</v>
      </c>
      <c r="L148" s="281">
        <v>265777.35384823545</v>
      </c>
      <c r="M148" s="281">
        <v>83271.30903482523</v>
      </c>
      <c r="N148" s="281">
        <v>27058.639307158493</v>
      </c>
      <c r="O148" s="281">
        <v>43502.883350147546</v>
      </c>
      <c r="P148" s="281">
        <v>8783.8423196454842</v>
      </c>
      <c r="Q148" s="281">
        <v>8710.7120316860182</v>
      </c>
      <c r="R148" s="281">
        <v>44160.074473262706</v>
      </c>
      <c r="S148" s="281">
        <v>75485.287898324154</v>
      </c>
      <c r="T148" s="281">
        <v>41840.768385576797</v>
      </c>
      <c r="U148" s="281">
        <v>143459.59604188841</v>
      </c>
      <c r="V148" s="281">
        <v>119797.87963530021</v>
      </c>
      <c r="W148" s="281">
        <v>118993.61324641833</v>
      </c>
      <c r="X148" s="281">
        <v>16407.147377087251</v>
      </c>
      <c r="Y148" s="281">
        <v>38482.932737225012</v>
      </c>
      <c r="Z148" s="281">
        <v>12175.12440106987</v>
      </c>
      <c r="AA148" s="281">
        <v>43034.026847537265</v>
      </c>
      <c r="AB148" s="281">
        <v>139745.09915966075</v>
      </c>
      <c r="AC148" s="281">
        <v>58378.083425623219</v>
      </c>
      <c r="AD148" s="281">
        <v>86497.117032336726</v>
      </c>
      <c r="AE148" s="281">
        <v>91469.036572743978</v>
      </c>
      <c r="AF148" s="281">
        <v>53698.917490087093</v>
      </c>
      <c r="AG148" s="281">
        <v>36473.691071377201</v>
      </c>
      <c r="AH148" s="281">
        <v>179750.31350728095</v>
      </c>
      <c r="AI148" s="281">
        <v>19232.415690242549</v>
      </c>
      <c r="AJ148" s="281">
        <v>19730.995927888711</v>
      </c>
      <c r="AK148" s="281">
        <v>49317.260275924687</v>
      </c>
      <c r="AL148" s="281">
        <v>141552.76171426754</v>
      </c>
      <c r="AM148" s="281">
        <v>50240.643179344392</v>
      </c>
      <c r="AN148" s="281">
        <v>372366.40617693763</v>
      </c>
      <c r="AO148" s="281">
        <v>702232.04950263188</v>
      </c>
      <c r="AP148" s="281">
        <v>79471.122101065674</v>
      </c>
      <c r="AQ148" s="281">
        <v>2409.476404047562</v>
      </c>
      <c r="AR148" s="281">
        <v>32911.443695206319</v>
      </c>
      <c r="AS148" s="281">
        <v>59348.008843493313</v>
      </c>
      <c r="AT148" s="281">
        <v>124177.47504970983</v>
      </c>
      <c r="AU148" s="281">
        <v>388513.53358557296</v>
      </c>
      <c r="AV148" s="281">
        <v>173682.68206397869</v>
      </c>
      <c r="AW148" s="281">
        <v>542473.29019276693</v>
      </c>
      <c r="AX148" s="281">
        <v>958314.03617420979</v>
      </c>
      <c r="AY148" s="281">
        <v>728487.09088345023</v>
      </c>
      <c r="AZ148" s="281">
        <v>615574.14943075681</v>
      </c>
      <c r="BA148" s="281">
        <v>199903.84596476474</v>
      </c>
      <c r="BB148" s="281">
        <v>19842.81248201077</v>
      </c>
      <c r="BC148" s="281">
        <v>6532.4276721127708</v>
      </c>
      <c r="BD148" s="281">
        <v>37700.014475462362</v>
      </c>
      <c r="BE148" s="281">
        <v>61794.139271354732</v>
      </c>
      <c r="BF148" s="281">
        <v>294503.92119553988</v>
      </c>
      <c r="BG148" s="281">
        <v>120330.55334316519</v>
      </c>
      <c r="BH148" s="281">
        <v>79901.885967559007</v>
      </c>
      <c r="BI148" s="281">
        <v>17086.111524853502</v>
      </c>
      <c r="BJ148" s="281">
        <v>1</v>
      </c>
      <c r="BK148" s="281">
        <v>415447.13575470215</v>
      </c>
      <c r="BL148" s="281">
        <v>183671.33318177791</v>
      </c>
      <c r="BM148" s="281">
        <v>36842.671479967066</v>
      </c>
      <c r="BN148" s="281">
        <v>109403.70373058459</v>
      </c>
      <c r="BO148" s="281">
        <v>14273.758076494889</v>
      </c>
      <c r="BP148" s="281">
        <v>25638.426968501579</v>
      </c>
      <c r="BQ148" s="281">
        <v>59771.082006278768</v>
      </c>
      <c r="BR148" s="281">
        <v>116809.99839601255</v>
      </c>
      <c r="BS148" s="281">
        <v>70773.227969502332</v>
      </c>
      <c r="BT148" s="281">
        <v>140471.81466346935</v>
      </c>
      <c r="BU148" s="281">
        <v>158141.11306080478</v>
      </c>
      <c r="BV148" s="281">
        <v>28012.521262510105</v>
      </c>
      <c r="BW148" s="281">
        <v>208930.67988678737</v>
      </c>
      <c r="BX148" s="281">
        <v>206883.52519499726</v>
      </c>
      <c r="BY148" s="281">
        <v>35436.014592855339</v>
      </c>
      <c r="BZ148" s="281">
        <v>78069.893098886547</v>
      </c>
      <c r="CA148" s="281">
        <v>20154.622162880674</v>
      </c>
      <c r="CB148" s="281">
        <v>78173.341494019711</v>
      </c>
      <c r="CC148" s="281">
        <v>208322.89390958936</v>
      </c>
      <c r="CD148" s="281">
        <v>121654.20698927726</v>
      </c>
      <c r="CE148" s="281">
        <v>138389.90079808343</v>
      </c>
      <c r="CF148" s="281">
        <v>247575.66395037499</v>
      </c>
      <c r="CG148" s="281">
        <v>132747.09496530987</v>
      </c>
      <c r="CH148" s="281">
        <v>132565.68088169565</v>
      </c>
      <c r="CI148" s="281">
        <v>406160.57531394681</v>
      </c>
      <c r="CJ148" s="281">
        <v>44281.333120544426</v>
      </c>
      <c r="CK148" s="281">
        <v>33992.17368526067</v>
      </c>
      <c r="CL148" s="281">
        <v>79763.348454109655</v>
      </c>
      <c r="CM148" s="281">
        <v>146854.92932603747</v>
      </c>
      <c r="CN148" s="281">
        <v>52547.474936707098</v>
      </c>
      <c r="CO148" s="281">
        <v>379526.81377365498</v>
      </c>
      <c r="CP148" s="281">
        <v>707794.80156764295</v>
      </c>
      <c r="CQ148" s="281">
        <v>110251.32752177581</v>
      </c>
      <c r="CR148" s="281">
        <v>144187.03470467502</v>
      </c>
      <c r="CS148" s="281">
        <v>401685.79557239864</v>
      </c>
      <c r="CT148" s="281">
        <v>26665.159662212798</v>
      </c>
      <c r="CU148" s="281">
        <v>8768.025130768634</v>
      </c>
      <c r="CV148" s="281">
        <v>61607.929587318395</v>
      </c>
      <c r="CW148" s="281">
        <v>174815.46189023033</v>
      </c>
      <c r="CX148" s="281">
        <v>562880.12771810137</v>
      </c>
      <c r="CY148" s="281">
        <v>1034264.0496645404</v>
      </c>
      <c r="CZ148" s="281">
        <v>731759.72964663012</v>
      </c>
      <c r="DA148" s="281">
        <v>660905.17656949291</v>
      </c>
      <c r="DB148" s="281">
        <v>5232.8934354532093</v>
      </c>
      <c r="DC148" s="281">
        <v>784295.30328815023</v>
      </c>
      <c r="DD148" s="281">
        <v>80640.864409768838</v>
      </c>
      <c r="DE148" s="281">
        <v>146535.98155909963</v>
      </c>
      <c r="DF148" s="281">
        <v>372605.45068548003</v>
      </c>
      <c r="DG148" s="281">
        <v>882965.70334565581</v>
      </c>
      <c r="DH148" s="281">
        <v>1398265.2090069195</v>
      </c>
      <c r="DI148" s="281">
        <v>61052.790993083603</v>
      </c>
      <c r="DJ148" s="281">
        <v>1552938.5975560301</v>
      </c>
      <c r="DK148" s="281">
        <v>61052.790993083603</v>
      </c>
      <c r="DL148" s="281">
        <v>44084.355958903601</v>
      </c>
      <c r="DM148" s="281">
        <v>60676.037751783355</v>
      </c>
      <c r="DN148" s="281">
        <v>75694.060148755845</v>
      </c>
      <c r="DO148" s="281">
        <v>87806.609504432432</v>
      </c>
      <c r="DP148" s="281">
        <v>103926.56524361648</v>
      </c>
      <c r="DQ148" s="281">
        <v>127594.73173927264</v>
      </c>
      <c r="DR148" s="281">
        <v>170395.87905661855</v>
      </c>
      <c r="DS148" s="281">
        <v>263588.42785549577</v>
      </c>
      <c r="DT148" s="281">
        <v>523800.40085373062</v>
      </c>
      <c r="DU148" s="281">
        <v>164219.79498405516</v>
      </c>
      <c r="DV148" s="281">
        <v>177554.97714361246</v>
      </c>
      <c r="DW148" s="281">
        <v>208567.60925599904</v>
      </c>
      <c r="DX148" s="281">
        <v>274626.99158743274</v>
      </c>
      <c r="DY148" s="281">
        <v>445289.55891629215</v>
      </c>
      <c r="DZ148" s="281">
        <v>1419578.0000000002</v>
      </c>
      <c r="EA148" s="281">
        <v>46078</v>
      </c>
      <c r="EB148" s="281">
        <v>466126.00000000006</v>
      </c>
      <c r="EC148" s="281">
        <v>37470</v>
      </c>
      <c r="ED148" s="281">
        <v>285432</v>
      </c>
      <c r="EE148" s="281">
        <v>-4.5474735088646412E-13</v>
      </c>
      <c r="EF148" s="281">
        <v>2.5011104298755527E-12</v>
      </c>
      <c r="EG148" s="281">
        <v>-9.6633812063373625E-13</v>
      </c>
      <c r="EH148" s="281">
        <v>643305.0076485856</v>
      </c>
      <c r="EI148" s="281">
        <v>31077.435246594669</v>
      </c>
      <c r="EJ148" s="281">
        <v>59877.442895178559</v>
      </c>
      <c r="EK148" s="281">
        <v>1195258.6267731716</v>
      </c>
      <c r="EL148" s="281">
        <v>29282633.482249022</v>
      </c>
    </row>
    <row r="149" spans="1:142" x14ac:dyDescent="0.25">
      <c r="A149" s="279"/>
      <c r="B149" s="281"/>
      <c r="C149" s="281"/>
      <c r="D149" s="281"/>
      <c r="E149" s="281"/>
      <c r="F149" s="281"/>
      <c r="G149" s="281"/>
      <c r="H149" s="281"/>
      <c r="I149" s="281"/>
      <c r="J149" s="281"/>
      <c r="K149" s="281"/>
      <c r="L149" s="281"/>
      <c r="M149" s="281"/>
      <c r="N149" s="281"/>
      <c r="O149" s="281"/>
      <c r="P149" s="281"/>
      <c r="Q149" s="281"/>
      <c r="R149" s="281"/>
      <c r="S149" s="281"/>
      <c r="T149" s="281"/>
      <c r="U149" s="281"/>
      <c r="V149" s="281"/>
      <c r="W149" s="281"/>
      <c r="X149" s="281"/>
      <c r="Y149" s="281"/>
      <c r="Z149" s="281"/>
      <c r="AA149" s="281"/>
      <c r="AB149" s="281"/>
      <c r="AC149" s="281"/>
      <c r="AD149" s="281"/>
      <c r="AE149" s="281"/>
      <c r="AF149" s="281"/>
      <c r="AG149" s="281"/>
      <c r="AH149" s="281"/>
      <c r="AI149" s="281"/>
      <c r="AJ149" s="281"/>
      <c r="AK149" s="281"/>
      <c r="AL149" s="281"/>
      <c r="AM149" s="281"/>
      <c r="AN149" s="281"/>
      <c r="AO149" s="281"/>
      <c r="AP149" s="281"/>
      <c r="AQ149" s="281"/>
      <c r="AR149" s="281"/>
      <c r="AS149" s="281"/>
      <c r="AT149" s="281"/>
      <c r="AU149" s="281"/>
      <c r="AV149" s="281"/>
      <c r="AW149" s="281"/>
      <c r="AX149" s="281"/>
      <c r="AY149" s="281"/>
      <c r="AZ149" s="281"/>
      <c r="BA149" s="281"/>
      <c r="BB149" s="281"/>
      <c r="BC149" s="281"/>
      <c r="BD149" s="281"/>
      <c r="BE149" s="281"/>
      <c r="BF149" s="281"/>
      <c r="BG149" s="281"/>
      <c r="BH149" s="281"/>
      <c r="BI149" s="281"/>
      <c r="BJ149" s="281"/>
      <c r="BK149" s="281"/>
      <c r="BL149" s="281"/>
      <c r="BM149" s="281"/>
      <c r="BN149" s="281"/>
      <c r="BO149" s="281"/>
      <c r="BP149" s="281"/>
      <c r="BQ149" s="281"/>
      <c r="BR149" s="281"/>
      <c r="BS149" s="281"/>
      <c r="BT149" s="281"/>
      <c r="BU149" s="281"/>
      <c r="BV149" s="281"/>
      <c r="BW149" s="281"/>
      <c r="BX149" s="281"/>
      <c r="BY149" s="281"/>
      <c r="BZ149" s="281"/>
      <c r="CA149" s="281"/>
      <c r="CB149" s="281"/>
      <c r="CC149" s="281"/>
      <c r="CD149" s="281"/>
      <c r="CE149" s="281"/>
      <c r="CF149" s="281"/>
      <c r="CG149" s="281"/>
      <c r="CH149" s="281"/>
      <c r="CI149" s="281"/>
      <c r="CJ149" s="281"/>
      <c r="CK149" s="281"/>
      <c r="CL149" s="281"/>
      <c r="CM149" s="281"/>
      <c r="CN149" s="281"/>
      <c r="CO149" s="281"/>
      <c r="CP149" s="281"/>
      <c r="CQ149" s="281"/>
      <c r="CR149" s="281"/>
      <c r="CS149" s="281"/>
      <c r="CT149" s="281"/>
      <c r="CU149" s="281"/>
      <c r="CV149" s="281"/>
      <c r="CW149" s="281"/>
      <c r="CX149" s="281"/>
      <c r="CY149" s="281"/>
      <c r="CZ149" s="281"/>
      <c r="DA149" s="281"/>
      <c r="DB149" s="281"/>
      <c r="DC149" s="281"/>
      <c r="DD149" s="281"/>
      <c r="DE149" s="281"/>
      <c r="DF149" s="281"/>
      <c r="DG149" s="281"/>
      <c r="DH149" s="281"/>
      <c r="DI149" s="281"/>
      <c r="DJ149" s="281"/>
      <c r="DK149" s="281"/>
      <c r="DL149" s="281"/>
      <c r="DM149" s="281"/>
      <c r="DN149" s="281"/>
      <c r="DO149" s="281"/>
      <c r="DP149" s="281"/>
      <c r="DQ149" s="281"/>
      <c r="DR149" s="281"/>
      <c r="DS149" s="281"/>
      <c r="DT149" s="281"/>
      <c r="DU149" s="281"/>
      <c r="DV149" s="281"/>
      <c r="DW149" s="281"/>
      <c r="DX149" s="281"/>
      <c r="DY149" s="281"/>
      <c r="DZ149" s="281"/>
      <c r="EA149" s="281"/>
      <c r="EB149" s="281"/>
      <c r="EC149" s="281"/>
      <c r="ED149" s="281"/>
      <c r="EE149" s="281"/>
      <c r="EF149" s="281"/>
      <c r="EG149" s="281"/>
      <c r="EH149" s="281"/>
      <c r="EI149" s="281"/>
      <c r="EJ149" s="281"/>
      <c r="EK149" s="281"/>
      <c r="EL149" s="281"/>
    </row>
    <row r="150" spans="1:142" x14ac:dyDescent="0.25">
      <c r="A150" s="279"/>
    </row>
    <row r="152" spans="1:142" x14ac:dyDescent="0.25">
      <c r="A152" s="280"/>
    </row>
    <row r="155" spans="1:142" x14ac:dyDescent="0.25">
      <c r="A155" s="279" t="s">
        <v>1653</v>
      </c>
      <c r="B155" s="256">
        <f t="shared" ref="B155:B186" si="0">MATCH(A155,$A$8:$A$148,0)</f>
        <v>1</v>
      </c>
    </row>
    <row r="156" spans="1:142" x14ac:dyDescent="0.25">
      <c r="A156" s="279" t="s">
        <v>1652</v>
      </c>
      <c r="B156" s="256">
        <f t="shared" si="0"/>
        <v>2</v>
      </c>
    </row>
    <row r="157" spans="1:142" x14ac:dyDescent="0.25">
      <c r="A157" s="279" t="s">
        <v>1651</v>
      </c>
      <c r="B157" s="256">
        <f t="shared" si="0"/>
        <v>3</v>
      </c>
    </row>
    <row r="158" spans="1:142" x14ac:dyDescent="0.25">
      <c r="A158" s="279" t="s">
        <v>1650</v>
      </c>
      <c r="B158" s="256">
        <f t="shared" si="0"/>
        <v>4</v>
      </c>
    </row>
    <row r="159" spans="1:142" x14ac:dyDescent="0.25">
      <c r="A159" s="279" t="s">
        <v>1649</v>
      </c>
      <c r="B159" s="256">
        <f t="shared" si="0"/>
        <v>5</v>
      </c>
    </row>
    <row r="160" spans="1:142" x14ac:dyDescent="0.25">
      <c r="A160" s="279" t="s">
        <v>1648</v>
      </c>
      <c r="B160" s="256">
        <f t="shared" si="0"/>
        <v>6</v>
      </c>
    </row>
    <row r="161" spans="1:2" x14ac:dyDescent="0.25">
      <c r="A161" s="279" t="s">
        <v>1647</v>
      </c>
      <c r="B161" s="256">
        <f t="shared" si="0"/>
        <v>7</v>
      </c>
    </row>
    <row r="162" spans="1:2" x14ac:dyDescent="0.25">
      <c r="A162" s="279" t="s">
        <v>1646</v>
      </c>
      <c r="B162" s="256">
        <f t="shared" si="0"/>
        <v>8</v>
      </c>
    </row>
    <row r="163" spans="1:2" x14ac:dyDescent="0.25">
      <c r="A163" s="279" t="s">
        <v>1645</v>
      </c>
      <c r="B163" s="256">
        <f t="shared" si="0"/>
        <v>9</v>
      </c>
    </row>
    <row r="164" spans="1:2" x14ac:dyDescent="0.25">
      <c r="A164" s="279" t="s">
        <v>1644</v>
      </c>
      <c r="B164" s="256">
        <f t="shared" si="0"/>
        <v>10</v>
      </c>
    </row>
    <row r="165" spans="1:2" x14ac:dyDescent="0.25">
      <c r="A165" s="279" t="s">
        <v>1643</v>
      </c>
      <c r="B165" s="256">
        <f t="shared" si="0"/>
        <v>11</v>
      </c>
    </row>
    <row r="166" spans="1:2" x14ac:dyDescent="0.25">
      <c r="A166" s="279" t="s">
        <v>1642</v>
      </c>
      <c r="B166" s="256">
        <f t="shared" si="0"/>
        <v>12</v>
      </c>
    </row>
    <row r="167" spans="1:2" x14ac:dyDescent="0.25">
      <c r="A167" s="279" t="s">
        <v>1641</v>
      </c>
      <c r="B167" s="256">
        <f t="shared" si="0"/>
        <v>13</v>
      </c>
    </row>
    <row r="168" spans="1:2" x14ac:dyDescent="0.25">
      <c r="A168" s="279" t="s">
        <v>1640</v>
      </c>
      <c r="B168" s="256">
        <f t="shared" si="0"/>
        <v>14</v>
      </c>
    </row>
    <row r="169" spans="1:2" x14ac:dyDescent="0.25">
      <c r="A169" s="279" t="s">
        <v>1639</v>
      </c>
      <c r="B169" s="256">
        <f t="shared" si="0"/>
        <v>15</v>
      </c>
    </row>
    <row r="170" spans="1:2" x14ac:dyDescent="0.25">
      <c r="A170" s="279" t="s">
        <v>1638</v>
      </c>
      <c r="B170" s="256">
        <f t="shared" si="0"/>
        <v>16</v>
      </c>
    </row>
    <row r="171" spans="1:2" x14ac:dyDescent="0.25">
      <c r="A171" s="279" t="s">
        <v>1637</v>
      </c>
      <c r="B171" s="256">
        <f t="shared" si="0"/>
        <v>17</v>
      </c>
    </row>
    <row r="172" spans="1:2" x14ac:dyDescent="0.25">
      <c r="A172" s="279" t="s">
        <v>1636</v>
      </c>
      <c r="B172" s="256">
        <f t="shared" si="0"/>
        <v>18</v>
      </c>
    </row>
    <row r="173" spans="1:2" x14ac:dyDescent="0.25">
      <c r="A173" s="279" t="s">
        <v>1635</v>
      </c>
      <c r="B173" s="256">
        <f t="shared" si="0"/>
        <v>19</v>
      </c>
    </row>
    <row r="174" spans="1:2" x14ac:dyDescent="0.25">
      <c r="A174" s="279" t="s">
        <v>1634</v>
      </c>
      <c r="B174" s="256">
        <f t="shared" si="0"/>
        <v>20</v>
      </c>
    </row>
    <row r="175" spans="1:2" x14ac:dyDescent="0.25">
      <c r="A175" s="279" t="s">
        <v>1633</v>
      </c>
      <c r="B175" s="256">
        <f t="shared" si="0"/>
        <v>21</v>
      </c>
    </row>
    <row r="176" spans="1:2" x14ac:dyDescent="0.25">
      <c r="A176" s="279" t="s">
        <v>1632</v>
      </c>
      <c r="B176" s="256">
        <f t="shared" si="0"/>
        <v>22</v>
      </c>
    </row>
    <row r="177" spans="1:2" x14ac:dyDescent="0.25">
      <c r="A177" s="279" t="s">
        <v>1631</v>
      </c>
      <c r="B177" s="256">
        <f t="shared" si="0"/>
        <v>23</v>
      </c>
    </row>
    <row r="178" spans="1:2" x14ac:dyDescent="0.25">
      <c r="A178" s="279" t="s">
        <v>1630</v>
      </c>
      <c r="B178" s="256">
        <f t="shared" si="0"/>
        <v>24</v>
      </c>
    </row>
    <row r="179" spans="1:2" x14ac:dyDescent="0.25">
      <c r="A179" s="279" t="s">
        <v>1629</v>
      </c>
      <c r="B179" s="256">
        <f t="shared" si="0"/>
        <v>25</v>
      </c>
    </row>
    <row r="180" spans="1:2" x14ac:dyDescent="0.25">
      <c r="A180" s="279" t="s">
        <v>1628</v>
      </c>
      <c r="B180" s="256">
        <f t="shared" si="0"/>
        <v>26</v>
      </c>
    </row>
    <row r="181" spans="1:2" x14ac:dyDescent="0.25">
      <c r="A181" s="279" t="s">
        <v>1627</v>
      </c>
      <c r="B181" s="256">
        <f t="shared" si="0"/>
        <v>27</v>
      </c>
    </row>
    <row r="182" spans="1:2" x14ac:dyDescent="0.25">
      <c r="A182" s="279" t="s">
        <v>1626</v>
      </c>
      <c r="B182" s="256">
        <f t="shared" si="0"/>
        <v>28</v>
      </c>
    </row>
    <row r="183" spans="1:2" x14ac:dyDescent="0.25">
      <c r="A183" s="279" t="s">
        <v>1625</v>
      </c>
      <c r="B183" s="256">
        <f t="shared" si="0"/>
        <v>29</v>
      </c>
    </row>
    <row r="184" spans="1:2" x14ac:dyDescent="0.25">
      <c r="A184" s="279" t="s">
        <v>1624</v>
      </c>
      <c r="B184" s="256">
        <f t="shared" si="0"/>
        <v>30</v>
      </c>
    </row>
    <row r="185" spans="1:2" x14ac:dyDescent="0.25">
      <c r="A185" s="279" t="s">
        <v>1623</v>
      </c>
      <c r="B185" s="256">
        <f t="shared" si="0"/>
        <v>31</v>
      </c>
    </row>
    <row r="186" spans="1:2" x14ac:dyDescent="0.25">
      <c r="A186" s="279" t="s">
        <v>1622</v>
      </c>
      <c r="B186" s="256">
        <f t="shared" si="0"/>
        <v>32</v>
      </c>
    </row>
    <row r="187" spans="1:2" x14ac:dyDescent="0.25">
      <c r="A187" s="279" t="s">
        <v>1621</v>
      </c>
      <c r="B187" s="256">
        <f t="shared" ref="B187:B218" si="1">MATCH(A187,$A$8:$A$148,0)</f>
        <v>33</v>
      </c>
    </row>
    <row r="188" spans="1:2" x14ac:dyDescent="0.25">
      <c r="A188" s="279" t="s">
        <v>1620</v>
      </c>
      <c r="B188" s="256">
        <f t="shared" si="1"/>
        <v>34</v>
      </c>
    </row>
    <row r="189" spans="1:2" x14ac:dyDescent="0.25">
      <c r="A189" s="279" t="s">
        <v>1619</v>
      </c>
      <c r="B189" s="256">
        <f t="shared" si="1"/>
        <v>35</v>
      </c>
    </row>
    <row r="190" spans="1:2" x14ac:dyDescent="0.25">
      <c r="A190" s="279" t="s">
        <v>1618</v>
      </c>
      <c r="B190" s="256">
        <f t="shared" si="1"/>
        <v>36</v>
      </c>
    </row>
    <row r="191" spans="1:2" x14ac:dyDescent="0.25">
      <c r="A191" s="279" t="s">
        <v>1617</v>
      </c>
      <c r="B191" s="256">
        <f t="shared" si="1"/>
        <v>37</v>
      </c>
    </row>
    <row r="192" spans="1:2" x14ac:dyDescent="0.25">
      <c r="A192" s="279" t="s">
        <v>1616</v>
      </c>
      <c r="B192" s="256">
        <f t="shared" si="1"/>
        <v>38</v>
      </c>
    </row>
    <row r="193" spans="1:2" x14ac:dyDescent="0.25">
      <c r="A193" s="279" t="s">
        <v>1615</v>
      </c>
      <c r="B193" s="256">
        <f t="shared" si="1"/>
        <v>39</v>
      </c>
    </row>
    <row r="194" spans="1:2" x14ac:dyDescent="0.25">
      <c r="A194" s="279" t="s">
        <v>1614</v>
      </c>
      <c r="B194" s="256">
        <f t="shared" si="1"/>
        <v>40</v>
      </c>
    </row>
    <row r="195" spans="1:2" x14ac:dyDescent="0.25">
      <c r="A195" s="279" t="s">
        <v>1613</v>
      </c>
      <c r="B195" s="256">
        <f t="shared" si="1"/>
        <v>41</v>
      </c>
    </row>
    <row r="196" spans="1:2" x14ac:dyDescent="0.25">
      <c r="A196" s="279" t="s">
        <v>1612</v>
      </c>
      <c r="B196" s="256">
        <f t="shared" si="1"/>
        <v>42</v>
      </c>
    </row>
    <row r="197" spans="1:2" x14ac:dyDescent="0.25">
      <c r="A197" s="279" t="s">
        <v>1611</v>
      </c>
      <c r="B197" s="256">
        <f t="shared" si="1"/>
        <v>43</v>
      </c>
    </row>
    <row r="198" spans="1:2" x14ac:dyDescent="0.25">
      <c r="A198" s="279" t="s">
        <v>1610</v>
      </c>
      <c r="B198" s="256">
        <f t="shared" si="1"/>
        <v>44</v>
      </c>
    </row>
    <row r="199" spans="1:2" x14ac:dyDescent="0.25">
      <c r="A199" s="279" t="s">
        <v>1609</v>
      </c>
      <c r="B199" s="256">
        <f t="shared" si="1"/>
        <v>45</v>
      </c>
    </row>
    <row r="200" spans="1:2" x14ac:dyDescent="0.25">
      <c r="A200" s="279" t="s">
        <v>1608</v>
      </c>
      <c r="B200" s="256">
        <f t="shared" si="1"/>
        <v>46</v>
      </c>
    </row>
    <row r="201" spans="1:2" x14ac:dyDescent="0.25">
      <c r="A201" s="279" t="s">
        <v>1607</v>
      </c>
      <c r="B201" s="256">
        <f t="shared" si="1"/>
        <v>47</v>
      </c>
    </row>
    <row r="202" spans="1:2" x14ac:dyDescent="0.25">
      <c r="A202" s="279" t="s">
        <v>1606</v>
      </c>
      <c r="B202" s="256">
        <f t="shared" si="1"/>
        <v>48</v>
      </c>
    </row>
    <row r="203" spans="1:2" x14ac:dyDescent="0.25">
      <c r="A203" s="279" t="s">
        <v>1605</v>
      </c>
      <c r="B203" s="256">
        <f t="shared" si="1"/>
        <v>49</v>
      </c>
    </row>
    <row r="204" spans="1:2" x14ac:dyDescent="0.25">
      <c r="A204" s="279" t="s">
        <v>1604</v>
      </c>
      <c r="B204" s="256">
        <f t="shared" si="1"/>
        <v>50</v>
      </c>
    </row>
    <row r="205" spans="1:2" x14ac:dyDescent="0.25">
      <c r="A205" s="279" t="s">
        <v>1603</v>
      </c>
      <c r="B205" s="256">
        <f t="shared" si="1"/>
        <v>51</v>
      </c>
    </row>
    <row r="206" spans="1:2" x14ac:dyDescent="0.25">
      <c r="A206" s="279" t="s">
        <v>1602</v>
      </c>
      <c r="B206" s="256">
        <f t="shared" si="1"/>
        <v>52</v>
      </c>
    </row>
    <row r="207" spans="1:2" x14ac:dyDescent="0.25">
      <c r="A207" s="279" t="s">
        <v>1601</v>
      </c>
      <c r="B207" s="256">
        <f t="shared" si="1"/>
        <v>53</v>
      </c>
    </row>
    <row r="208" spans="1:2" x14ac:dyDescent="0.25">
      <c r="A208" s="279" t="s">
        <v>1600</v>
      </c>
      <c r="B208" s="256">
        <f t="shared" si="1"/>
        <v>54</v>
      </c>
    </row>
    <row r="209" spans="1:2" x14ac:dyDescent="0.25">
      <c r="A209" s="279" t="s">
        <v>1599</v>
      </c>
      <c r="B209" s="256">
        <f t="shared" si="1"/>
        <v>55</v>
      </c>
    </row>
    <row r="210" spans="1:2" x14ac:dyDescent="0.25">
      <c r="A210" s="279" t="s">
        <v>1598</v>
      </c>
      <c r="B210" s="256">
        <f t="shared" si="1"/>
        <v>56</v>
      </c>
    </row>
    <row r="211" spans="1:2" x14ac:dyDescent="0.25">
      <c r="A211" s="279" t="s">
        <v>1597</v>
      </c>
      <c r="B211" s="256">
        <f t="shared" si="1"/>
        <v>57</v>
      </c>
    </row>
    <row r="212" spans="1:2" x14ac:dyDescent="0.25">
      <c r="A212" s="279" t="s">
        <v>1596</v>
      </c>
      <c r="B212" s="256">
        <f t="shared" si="1"/>
        <v>58</v>
      </c>
    </row>
    <row r="213" spans="1:2" x14ac:dyDescent="0.25">
      <c r="A213" s="279" t="s">
        <v>1595</v>
      </c>
      <c r="B213" s="256">
        <f t="shared" si="1"/>
        <v>59</v>
      </c>
    </row>
    <row r="214" spans="1:2" x14ac:dyDescent="0.25">
      <c r="A214" s="279" t="s">
        <v>1594</v>
      </c>
      <c r="B214" s="256">
        <f t="shared" si="1"/>
        <v>60</v>
      </c>
    </row>
    <row r="215" spans="1:2" x14ac:dyDescent="0.25">
      <c r="A215" s="279" t="s">
        <v>1593</v>
      </c>
      <c r="B215" s="256">
        <f t="shared" si="1"/>
        <v>61</v>
      </c>
    </row>
    <row r="216" spans="1:2" x14ac:dyDescent="0.25">
      <c r="A216" s="279" t="s">
        <v>1592</v>
      </c>
      <c r="B216" s="256">
        <f t="shared" si="1"/>
        <v>62</v>
      </c>
    </row>
    <row r="217" spans="1:2" x14ac:dyDescent="0.25">
      <c r="A217" s="279" t="s">
        <v>1591</v>
      </c>
      <c r="B217" s="256">
        <f t="shared" si="1"/>
        <v>63</v>
      </c>
    </row>
    <row r="218" spans="1:2" x14ac:dyDescent="0.25">
      <c r="A218" s="279" t="s">
        <v>1590</v>
      </c>
      <c r="B218" s="256">
        <f t="shared" si="1"/>
        <v>64</v>
      </c>
    </row>
    <row r="219" spans="1:2" x14ac:dyDescent="0.25">
      <c r="A219" s="279" t="s">
        <v>1589</v>
      </c>
      <c r="B219" s="256">
        <f t="shared" ref="B219:B250" si="2">MATCH(A219,$A$8:$A$148,0)</f>
        <v>65</v>
      </c>
    </row>
    <row r="220" spans="1:2" x14ac:dyDescent="0.25">
      <c r="A220" s="279" t="s">
        <v>1588</v>
      </c>
      <c r="B220" s="256">
        <f t="shared" si="2"/>
        <v>66</v>
      </c>
    </row>
    <row r="221" spans="1:2" x14ac:dyDescent="0.25">
      <c r="A221" s="279" t="s">
        <v>1587</v>
      </c>
      <c r="B221" s="256">
        <f t="shared" si="2"/>
        <v>67</v>
      </c>
    </row>
    <row r="222" spans="1:2" x14ac:dyDescent="0.25">
      <c r="A222" s="279" t="s">
        <v>1586</v>
      </c>
      <c r="B222" s="256">
        <f t="shared" si="2"/>
        <v>68</v>
      </c>
    </row>
    <row r="223" spans="1:2" x14ac:dyDescent="0.25">
      <c r="A223" s="279" t="s">
        <v>1585</v>
      </c>
      <c r="B223" s="256">
        <f t="shared" si="2"/>
        <v>69</v>
      </c>
    </row>
    <row r="224" spans="1:2" x14ac:dyDescent="0.25">
      <c r="A224" s="279" t="s">
        <v>1584</v>
      </c>
      <c r="B224" s="256">
        <f t="shared" si="2"/>
        <v>70</v>
      </c>
    </row>
    <row r="225" spans="1:2" x14ac:dyDescent="0.25">
      <c r="A225" s="279" t="s">
        <v>1583</v>
      </c>
      <c r="B225" s="256">
        <f t="shared" si="2"/>
        <v>71</v>
      </c>
    </row>
    <row r="226" spans="1:2" x14ac:dyDescent="0.25">
      <c r="A226" s="279" t="s">
        <v>1582</v>
      </c>
      <c r="B226" s="256">
        <f t="shared" si="2"/>
        <v>72</v>
      </c>
    </row>
    <row r="227" spans="1:2" x14ac:dyDescent="0.25">
      <c r="A227" s="279" t="s">
        <v>1581</v>
      </c>
      <c r="B227" s="256">
        <f t="shared" si="2"/>
        <v>73</v>
      </c>
    </row>
    <row r="228" spans="1:2" x14ac:dyDescent="0.25">
      <c r="A228" s="279" t="s">
        <v>1580</v>
      </c>
      <c r="B228" s="256">
        <f t="shared" si="2"/>
        <v>74</v>
      </c>
    </row>
    <row r="229" spans="1:2" x14ac:dyDescent="0.25">
      <c r="A229" s="279" t="s">
        <v>1579</v>
      </c>
      <c r="B229" s="256">
        <f t="shared" si="2"/>
        <v>75</v>
      </c>
    </row>
    <row r="230" spans="1:2" x14ac:dyDescent="0.25">
      <c r="A230" s="279" t="s">
        <v>1578</v>
      </c>
      <c r="B230" s="256">
        <f t="shared" si="2"/>
        <v>76</v>
      </c>
    </row>
    <row r="231" spans="1:2" x14ac:dyDescent="0.25">
      <c r="A231" s="279" t="s">
        <v>1577</v>
      </c>
      <c r="B231" s="256">
        <f t="shared" si="2"/>
        <v>77</v>
      </c>
    </row>
    <row r="232" spans="1:2" x14ac:dyDescent="0.25">
      <c r="A232" s="279" t="s">
        <v>1576</v>
      </c>
      <c r="B232" s="256">
        <f t="shared" si="2"/>
        <v>78</v>
      </c>
    </row>
    <row r="233" spans="1:2" x14ac:dyDescent="0.25">
      <c r="A233" s="279" t="s">
        <v>1575</v>
      </c>
      <c r="B233" s="256">
        <f t="shared" si="2"/>
        <v>79</v>
      </c>
    </row>
    <row r="234" spans="1:2" x14ac:dyDescent="0.25">
      <c r="A234" s="279" t="s">
        <v>1574</v>
      </c>
      <c r="B234" s="256">
        <f t="shared" si="2"/>
        <v>80</v>
      </c>
    </row>
    <row r="235" spans="1:2" x14ac:dyDescent="0.25">
      <c r="A235" s="279" t="s">
        <v>1573</v>
      </c>
      <c r="B235" s="256">
        <f t="shared" si="2"/>
        <v>81</v>
      </c>
    </row>
    <row r="236" spans="1:2" x14ac:dyDescent="0.25">
      <c r="A236" s="279" t="s">
        <v>1572</v>
      </c>
      <c r="B236" s="256">
        <f t="shared" si="2"/>
        <v>82</v>
      </c>
    </row>
    <row r="237" spans="1:2" x14ac:dyDescent="0.25">
      <c r="A237" s="279" t="s">
        <v>1571</v>
      </c>
      <c r="B237" s="256">
        <f t="shared" si="2"/>
        <v>83</v>
      </c>
    </row>
    <row r="238" spans="1:2" x14ac:dyDescent="0.25">
      <c r="A238" s="279" t="s">
        <v>1570</v>
      </c>
      <c r="B238" s="256">
        <f t="shared" si="2"/>
        <v>84</v>
      </c>
    </row>
    <row r="239" spans="1:2" x14ac:dyDescent="0.25">
      <c r="A239" s="279" t="s">
        <v>1569</v>
      </c>
      <c r="B239" s="256">
        <f t="shared" si="2"/>
        <v>85</v>
      </c>
    </row>
    <row r="240" spans="1:2" x14ac:dyDescent="0.25">
      <c r="A240" s="279" t="s">
        <v>1568</v>
      </c>
      <c r="B240" s="256">
        <f t="shared" si="2"/>
        <v>86</v>
      </c>
    </row>
    <row r="241" spans="1:2" x14ac:dyDescent="0.25">
      <c r="A241" s="279" t="s">
        <v>1567</v>
      </c>
      <c r="B241" s="256">
        <f t="shared" si="2"/>
        <v>87</v>
      </c>
    </row>
    <row r="242" spans="1:2" x14ac:dyDescent="0.25">
      <c r="A242" s="279" t="s">
        <v>1566</v>
      </c>
      <c r="B242" s="256">
        <f t="shared" si="2"/>
        <v>88</v>
      </c>
    </row>
    <row r="243" spans="1:2" x14ac:dyDescent="0.25">
      <c r="A243" s="279" t="s">
        <v>1565</v>
      </c>
      <c r="B243" s="256">
        <f t="shared" si="2"/>
        <v>89</v>
      </c>
    </row>
    <row r="244" spans="1:2" x14ac:dyDescent="0.25">
      <c r="A244" s="279" t="s">
        <v>1564</v>
      </c>
      <c r="B244" s="256">
        <f t="shared" si="2"/>
        <v>90</v>
      </c>
    </row>
    <row r="245" spans="1:2" x14ac:dyDescent="0.25">
      <c r="A245" s="279" t="s">
        <v>1563</v>
      </c>
      <c r="B245" s="256">
        <f t="shared" si="2"/>
        <v>91</v>
      </c>
    </row>
    <row r="246" spans="1:2" x14ac:dyDescent="0.25">
      <c r="A246" s="279" t="s">
        <v>1562</v>
      </c>
      <c r="B246" s="256">
        <f t="shared" si="2"/>
        <v>92</v>
      </c>
    </row>
    <row r="247" spans="1:2" x14ac:dyDescent="0.25">
      <c r="A247" s="279" t="s">
        <v>1561</v>
      </c>
      <c r="B247" s="256">
        <f t="shared" si="2"/>
        <v>93</v>
      </c>
    </row>
    <row r="248" spans="1:2" x14ac:dyDescent="0.25">
      <c r="A248" s="279" t="s">
        <v>1560</v>
      </c>
      <c r="B248" s="256">
        <f t="shared" si="2"/>
        <v>94</v>
      </c>
    </row>
    <row r="249" spans="1:2" x14ac:dyDescent="0.25">
      <c r="A249" s="279" t="s">
        <v>1559</v>
      </c>
      <c r="B249" s="256">
        <f t="shared" si="2"/>
        <v>95</v>
      </c>
    </row>
    <row r="250" spans="1:2" x14ac:dyDescent="0.25">
      <c r="A250" s="279" t="s">
        <v>1558</v>
      </c>
      <c r="B250" s="256">
        <f t="shared" si="2"/>
        <v>96</v>
      </c>
    </row>
    <row r="251" spans="1:2" x14ac:dyDescent="0.25">
      <c r="A251" s="279" t="s">
        <v>1557</v>
      </c>
      <c r="B251" s="256">
        <f t="shared" ref="B251:B282" si="3">MATCH(A251,$A$8:$A$148,0)</f>
        <v>97</v>
      </c>
    </row>
    <row r="252" spans="1:2" x14ac:dyDescent="0.25">
      <c r="A252" s="279" t="s">
        <v>1556</v>
      </c>
      <c r="B252" s="256">
        <f t="shared" si="3"/>
        <v>98</v>
      </c>
    </row>
    <row r="253" spans="1:2" x14ac:dyDescent="0.25">
      <c r="A253" s="279" t="s">
        <v>1555</v>
      </c>
      <c r="B253" s="256">
        <f t="shared" si="3"/>
        <v>99</v>
      </c>
    </row>
    <row r="254" spans="1:2" x14ac:dyDescent="0.25">
      <c r="A254" s="279" t="s">
        <v>1554</v>
      </c>
      <c r="B254" s="256">
        <f t="shared" si="3"/>
        <v>100</v>
      </c>
    </row>
    <row r="255" spans="1:2" x14ac:dyDescent="0.25">
      <c r="A255" s="279" t="s">
        <v>1553</v>
      </c>
      <c r="B255" s="256">
        <f t="shared" si="3"/>
        <v>101</v>
      </c>
    </row>
    <row r="256" spans="1:2" x14ac:dyDescent="0.25">
      <c r="A256" s="279" t="s">
        <v>1552</v>
      </c>
      <c r="B256" s="256">
        <f t="shared" si="3"/>
        <v>102</v>
      </c>
    </row>
    <row r="257" spans="1:2" x14ac:dyDescent="0.25">
      <c r="A257" s="279" t="s">
        <v>1551</v>
      </c>
      <c r="B257" s="256">
        <f t="shared" si="3"/>
        <v>103</v>
      </c>
    </row>
    <row r="258" spans="1:2" x14ac:dyDescent="0.25">
      <c r="A258" s="279" t="s">
        <v>1550</v>
      </c>
      <c r="B258" s="256">
        <f t="shared" si="3"/>
        <v>104</v>
      </c>
    </row>
    <row r="259" spans="1:2" x14ac:dyDescent="0.25">
      <c r="A259" s="279" t="s">
        <v>1549</v>
      </c>
      <c r="B259" s="256">
        <f t="shared" si="3"/>
        <v>105</v>
      </c>
    </row>
    <row r="260" spans="1:2" x14ac:dyDescent="0.25">
      <c r="A260" s="279" t="s">
        <v>1548</v>
      </c>
      <c r="B260" s="256">
        <f t="shared" si="3"/>
        <v>106</v>
      </c>
    </row>
    <row r="261" spans="1:2" x14ac:dyDescent="0.25">
      <c r="A261" s="279" t="s">
        <v>1454</v>
      </c>
      <c r="B261" s="256">
        <f t="shared" si="3"/>
        <v>107</v>
      </c>
    </row>
    <row r="262" spans="1:2" x14ac:dyDescent="0.25">
      <c r="A262" s="279" t="s">
        <v>1453</v>
      </c>
      <c r="B262" s="256">
        <f t="shared" si="3"/>
        <v>108</v>
      </c>
    </row>
    <row r="263" spans="1:2" x14ac:dyDescent="0.25">
      <c r="A263" s="279" t="s">
        <v>1452</v>
      </c>
      <c r="B263" s="256">
        <f t="shared" si="3"/>
        <v>109</v>
      </c>
    </row>
    <row r="264" spans="1:2" x14ac:dyDescent="0.25">
      <c r="A264" s="279" t="s">
        <v>1451</v>
      </c>
      <c r="B264" s="256">
        <f t="shared" si="3"/>
        <v>110</v>
      </c>
    </row>
    <row r="265" spans="1:2" x14ac:dyDescent="0.25">
      <c r="A265" s="279" t="s">
        <v>1547</v>
      </c>
      <c r="B265" s="256">
        <f t="shared" si="3"/>
        <v>111</v>
      </c>
    </row>
    <row r="266" spans="1:2" x14ac:dyDescent="0.25">
      <c r="A266" s="279" t="s">
        <v>1546</v>
      </c>
      <c r="B266" s="256">
        <f t="shared" si="3"/>
        <v>112</v>
      </c>
    </row>
    <row r="267" spans="1:2" x14ac:dyDescent="0.25">
      <c r="A267" s="279" t="s">
        <v>1545</v>
      </c>
      <c r="B267" s="256">
        <f t="shared" si="3"/>
        <v>113</v>
      </c>
    </row>
    <row r="268" spans="1:2" x14ac:dyDescent="0.25">
      <c r="A268" s="279" t="s">
        <v>1544</v>
      </c>
      <c r="B268" s="256">
        <f t="shared" si="3"/>
        <v>114</v>
      </c>
    </row>
    <row r="269" spans="1:2" x14ac:dyDescent="0.25">
      <c r="A269" s="279" t="s">
        <v>1543</v>
      </c>
      <c r="B269" s="256">
        <f t="shared" si="3"/>
        <v>115</v>
      </c>
    </row>
    <row r="270" spans="1:2" x14ac:dyDescent="0.25">
      <c r="A270" s="279" t="s">
        <v>1542</v>
      </c>
      <c r="B270" s="256">
        <f t="shared" si="3"/>
        <v>116</v>
      </c>
    </row>
    <row r="271" spans="1:2" x14ac:dyDescent="0.25">
      <c r="A271" s="279" t="s">
        <v>1541</v>
      </c>
      <c r="B271" s="256">
        <f t="shared" si="3"/>
        <v>117</v>
      </c>
    </row>
    <row r="272" spans="1:2" x14ac:dyDescent="0.25">
      <c r="A272" s="279" t="s">
        <v>1540</v>
      </c>
      <c r="B272" s="256">
        <f t="shared" si="3"/>
        <v>118</v>
      </c>
    </row>
    <row r="273" spans="1:2" x14ac:dyDescent="0.25">
      <c r="A273" s="279" t="s">
        <v>1539</v>
      </c>
      <c r="B273" s="256">
        <f t="shared" si="3"/>
        <v>119</v>
      </c>
    </row>
    <row r="274" spans="1:2" x14ac:dyDescent="0.25">
      <c r="A274" s="279" t="s">
        <v>1538</v>
      </c>
      <c r="B274" s="256">
        <f t="shared" si="3"/>
        <v>120</v>
      </c>
    </row>
    <row r="275" spans="1:2" x14ac:dyDescent="0.25">
      <c r="A275" s="279" t="s">
        <v>1537</v>
      </c>
      <c r="B275" s="256">
        <f t="shared" si="3"/>
        <v>121</v>
      </c>
    </row>
    <row r="276" spans="1:2" x14ac:dyDescent="0.25">
      <c r="A276" s="279" t="s">
        <v>1536</v>
      </c>
      <c r="B276" s="256">
        <f t="shared" si="3"/>
        <v>122</v>
      </c>
    </row>
    <row r="277" spans="1:2" x14ac:dyDescent="0.25">
      <c r="A277" s="279" t="s">
        <v>1535</v>
      </c>
      <c r="B277" s="256">
        <f t="shared" si="3"/>
        <v>123</v>
      </c>
    </row>
    <row r="278" spans="1:2" x14ac:dyDescent="0.25">
      <c r="A278" s="279" t="s">
        <v>1534</v>
      </c>
      <c r="B278" s="256">
        <f t="shared" si="3"/>
        <v>124</v>
      </c>
    </row>
    <row r="279" spans="1:2" x14ac:dyDescent="0.25">
      <c r="A279" s="279" t="s">
        <v>1533</v>
      </c>
      <c r="B279" s="256">
        <f t="shared" si="3"/>
        <v>125</v>
      </c>
    </row>
    <row r="280" spans="1:2" x14ac:dyDescent="0.25">
      <c r="A280" s="279" t="s">
        <v>1532</v>
      </c>
      <c r="B280" s="256">
        <f t="shared" si="3"/>
        <v>126</v>
      </c>
    </row>
    <row r="281" spans="1:2" x14ac:dyDescent="0.25">
      <c r="A281" s="279" t="s">
        <v>1531</v>
      </c>
      <c r="B281" s="256">
        <f t="shared" si="3"/>
        <v>127</v>
      </c>
    </row>
    <row r="282" spans="1:2" x14ac:dyDescent="0.25">
      <c r="A282" s="279" t="s">
        <v>1530</v>
      </c>
      <c r="B282" s="256">
        <f t="shared" si="3"/>
        <v>128</v>
      </c>
    </row>
    <row r="283" spans="1:2" x14ac:dyDescent="0.25">
      <c r="A283" s="279" t="s">
        <v>1529</v>
      </c>
      <c r="B283" s="256">
        <f t="shared" ref="B283:B295" si="4">MATCH(A283,$A$8:$A$148,0)</f>
        <v>129</v>
      </c>
    </row>
    <row r="284" spans="1:2" x14ac:dyDescent="0.25">
      <c r="A284" s="279" t="s">
        <v>1528</v>
      </c>
      <c r="B284" s="256">
        <f t="shared" si="4"/>
        <v>130</v>
      </c>
    </row>
    <row r="285" spans="1:2" x14ac:dyDescent="0.25">
      <c r="A285" s="279" t="s">
        <v>1527</v>
      </c>
      <c r="B285" s="256">
        <f t="shared" si="4"/>
        <v>131</v>
      </c>
    </row>
    <row r="286" spans="1:2" x14ac:dyDescent="0.25">
      <c r="A286" s="279" t="s">
        <v>1526</v>
      </c>
      <c r="B286" s="256">
        <f t="shared" si="4"/>
        <v>132</v>
      </c>
    </row>
    <row r="287" spans="1:2" x14ac:dyDescent="0.25">
      <c r="A287" s="279" t="s">
        <v>1525</v>
      </c>
      <c r="B287" s="256">
        <f t="shared" si="4"/>
        <v>133</v>
      </c>
    </row>
    <row r="288" spans="1:2" x14ac:dyDescent="0.25">
      <c r="A288" s="279" t="s">
        <v>1524</v>
      </c>
      <c r="B288" s="256">
        <f t="shared" si="4"/>
        <v>134</v>
      </c>
    </row>
    <row r="289" spans="1:2" x14ac:dyDescent="0.25">
      <c r="A289" s="279" t="s">
        <v>1523</v>
      </c>
      <c r="B289" s="256">
        <f t="shared" si="4"/>
        <v>135</v>
      </c>
    </row>
    <row r="290" spans="1:2" x14ac:dyDescent="0.25">
      <c r="A290" s="279" t="s">
        <v>1522</v>
      </c>
      <c r="B290" s="256">
        <f t="shared" si="4"/>
        <v>136</v>
      </c>
    </row>
    <row r="291" spans="1:2" x14ac:dyDescent="0.25">
      <c r="A291" s="279" t="s">
        <v>1521</v>
      </c>
      <c r="B291" s="256">
        <f t="shared" si="4"/>
        <v>137</v>
      </c>
    </row>
    <row r="292" spans="1:2" x14ac:dyDescent="0.25">
      <c r="A292" s="279" t="s">
        <v>1520</v>
      </c>
      <c r="B292" s="256">
        <f t="shared" si="4"/>
        <v>138</v>
      </c>
    </row>
    <row r="293" spans="1:2" x14ac:dyDescent="0.25">
      <c r="A293" s="279" t="s">
        <v>1519</v>
      </c>
      <c r="B293" s="256">
        <f t="shared" si="4"/>
        <v>139</v>
      </c>
    </row>
    <row r="294" spans="1:2" x14ac:dyDescent="0.25">
      <c r="A294" s="279" t="s">
        <v>1518</v>
      </c>
      <c r="B294" s="256">
        <f t="shared" si="4"/>
        <v>140</v>
      </c>
    </row>
    <row r="295" spans="1:2" x14ac:dyDescent="0.25">
      <c r="A295" s="279" t="s">
        <v>1517</v>
      </c>
      <c r="B295" s="256">
        <f t="shared" si="4"/>
        <v>141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56E0-2B0D-436A-8A98-D5663B0F6A8E}">
  <sheetPr codeName="Sheet58">
    <tabColor rgb="FF92D050"/>
  </sheetPr>
  <dimension ref="A1:GP202"/>
  <sheetViews>
    <sheetView workbookViewId="0"/>
  </sheetViews>
  <sheetFormatPr defaultColWidth="9.140625" defaultRowHeight="15" x14ac:dyDescent="0.25"/>
  <cols>
    <col min="1" max="1" width="11.140625" style="460" bestFit="1" customWidth="1"/>
    <col min="2" max="2" width="12.7109375" style="460" bestFit="1" customWidth="1"/>
    <col min="3" max="3" width="12.140625" style="460" bestFit="1" customWidth="1"/>
    <col min="4" max="4" width="10.42578125" style="460" bestFit="1" customWidth="1"/>
    <col min="5" max="7" width="11.7109375" style="460" bestFit="1" customWidth="1"/>
    <col min="8" max="8" width="10.7109375" style="460" bestFit="1" customWidth="1"/>
    <col min="9" max="10" width="10.42578125" style="460" bestFit="1" customWidth="1"/>
    <col min="11" max="12" width="11.7109375" style="460" bestFit="1" customWidth="1"/>
    <col min="13" max="13" width="12.140625" style="460" bestFit="1" customWidth="1"/>
    <col min="14" max="14" width="11.7109375" style="460" bestFit="1" customWidth="1"/>
    <col min="15" max="15" width="10.7109375" style="460" bestFit="1" customWidth="1"/>
    <col min="16" max="16" width="12.7109375" style="460" bestFit="1" customWidth="1"/>
    <col min="17" max="17" width="12.42578125" style="460" bestFit="1" customWidth="1"/>
    <col min="18" max="18" width="10.42578125" style="460" bestFit="1" customWidth="1"/>
    <col min="19" max="19" width="12.7109375" style="460" bestFit="1" customWidth="1"/>
    <col min="20" max="20" width="12.42578125" style="460" bestFit="1" customWidth="1"/>
    <col min="21" max="23" width="12.140625" style="460" bestFit="1" customWidth="1"/>
    <col min="24" max="24" width="11.7109375" style="460" bestFit="1" customWidth="1"/>
    <col min="25" max="25" width="10.7109375" style="460" bestFit="1" customWidth="1"/>
    <col min="26" max="29" width="11.7109375" style="460" bestFit="1" customWidth="1"/>
    <col min="30" max="30" width="12.140625" style="460" bestFit="1" customWidth="1"/>
    <col min="31" max="31" width="11.28515625" style="460" bestFit="1" customWidth="1"/>
    <col min="32" max="32" width="10.7109375" style="460" bestFit="1" customWidth="1"/>
    <col min="33" max="33" width="10.42578125" style="460" bestFit="1" customWidth="1"/>
    <col min="34" max="34" width="11.7109375" style="460" bestFit="1" customWidth="1"/>
    <col min="35" max="37" width="12.140625" style="460" bestFit="1" customWidth="1"/>
    <col min="38" max="38" width="11.7109375" style="460" bestFit="1" customWidth="1"/>
    <col min="39" max="39" width="11.28515625" style="460" bestFit="1" customWidth="1"/>
    <col min="40" max="40" width="12.140625" style="460" bestFit="1" customWidth="1"/>
    <col min="41" max="41" width="12.7109375" style="460" bestFit="1" customWidth="1"/>
    <col min="42" max="42" width="12.140625" style="460" bestFit="1" customWidth="1"/>
    <col min="43" max="43" width="12.7109375" style="460" bestFit="1" customWidth="1"/>
    <col min="44" max="44" width="10.42578125" style="460" bestFit="1" customWidth="1"/>
    <col min="45" max="45" width="11.7109375" style="460" bestFit="1" customWidth="1"/>
    <col min="46" max="47" width="12.7109375" style="460" bestFit="1" customWidth="1"/>
    <col min="48" max="48" width="12.140625" style="460" bestFit="1" customWidth="1"/>
    <col min="49" max="49" width="11.7109375" style="460" bestFit="1" customWidth="1"/>
    <col min="50" max="50" width="12.140625" style="460" bestFit="1" customWidth="1"/>
    <col min="51" max="51" width="13.28515625" style="460" bestFit="1" customWidth="1"/>
    <col min="52" max="52" width="12.140625" style="460" bestFit="1" customWidth="1"/>
    <col min="53" max="53" width="12.42578125" style="460" bestFit="1" customWidth="1"/>
    <col min="54" max="54" width="12.7109375" style="460" bestFit="1" customWidth="1"/>
    <col min="55" max="55" width="10.42578125" style="460" bestFit="1" customWidth="1"/>
    <col min="56" max="56" width="11.140625" style="460" bestFit="1" customWidth="1"/>
    <col min="57" max="57" width="11.7109375" style="460" bestFit="1" customWidth="1"/>
    <col min="58" max="58" width="12.140625" style="460" bestFit="1" customWidth="1"/>
    <col min="59" max="59" width="13.28515625" style="460" bestFit="1" customWidth="1"/>
    <col min="60" max="61" width="12.140625" style="460" bestFit="1" customWidth="1"/>
    <col min="62" max="62" width="11.7109375" style="460" bestFit="1" customWidth="1"/>
    <col min="63" max="63" width="13.28515625" style="460" bestFit="1" customWidth="1"/>
    <col min="64" max="64" width="12.140625" style="460" bestFit="1" customWidth="1"/>
    <col min="65" max="65" width="13.28515625" style="460" bestFit="1" customWidth="1"/>
    <col min="66" max="66" width="14.42578125" style="460" bestFit="1" customWidth="1"/>
    <col min="67" max="67" width="12.140625" style="460" bestFit="1" customWidth="1"/>
    <col min="68" max="69" width="12.7109375" style="460" bestFit="1" customWidth="1"/>
    <col min="70" max="70" width="12.140625" style="460" bestFit="1" customWidth="1"/>
    <col min="71" max="71" width="11.7109375" style="460" bestFit="1" customWidth="1"/>
    <col min="72" max="72" width="12.7109375" style="460" bestFit="1" customWidth="1"/>
    <col min="73" max="73" width="12.140625" style="460" bestFit="1" customWidth="1"/>
    <col min="74" max="75" width="13.28515625" style="460" bestFit="1" customWidth="1"/>
    <col min="76" max="77" width="14.140625" style="460" bestFit="1" customWidth="1"/>
    <col min="78" max="78" width="13.28515625" style="460" bestFit="1" customWidth="1"/>
    <col min="79" max="79" width="11.7109375" style="460" bestFit="1" customWidth="1"/>
    <col min="80" max="80" width="12.140625" style="460" bestFit="1" customWidth="1"/>
    <col min="81" max="81" width="10.42578125" style="460" bestFit="1" customWidth="1"/>
    <col min="82" max="82" width="11.7109375" style="460" bestFit="1" customWidth="1"/>
    <col min="83" max="83" width="12.140625" style="460" bestFit="1" customWidth="1"/>
    <col min="84" max="84" width="11.7109375" style="460" bestFit="1" customWidth="1"/>
    <col min="85" max="85" width="10.7109375" style="460" bestFit="1" customWidth="1"/>
    <col min="86" max="86" width="11.28515625" style="460" bestFit="1" customWidth="1"/>
    <col min="87" max="87" width="10.42578125" style="460" bestFit="1" customWidth="1"/>
    <col min="88" max="89" width="11.7109375" style="460" bestFit="1" customWidth="1"/>
    <col min="90" max="90" width="12.140625" style="460" bestFit="1" customWidth="1"/>
    <col min="91" max="92" width="11.7109375" style="460" bestFit="1" customWidth="1"/>
    <col min="93" max="94" width="12.140625" style="460" bestFit="1" customWidth="1"/>
    <col min="95" max="95" width="10.7109375" style="460" bestFit="1" customWidth="1"/>
    <col min="96" max="96" width="12.42578125" style="460" bestFit="1" customWidth="1"/>
    <col min="97" max="97" width="10.7109375" style="460" bestFit="1" customWidth="1"/>
    <col min="98" max="100" width="12.7109375" style="460" bestFit="1" customWidth="1"/>
    <col min="101" max="105" width="12.140625" style="460" bestFit="1" customWidth="1"/>
    <col min="106" max="107" width="11.7109375" style="460" bestFit="1" customWidth="1"/>
    <col min="108" max="109" width="12.140625" style="460" bestFit="1" customWidth="1"/>
    <col min="110" max="111" width="11.7109375" style="460" bestFit="1" customWidth="1"/>
    <col min="112" max="112" width="10.7109375" style="460" bestFit="1" customWidth="1"/>
    <col min="113" max="113" width="11.7109375" style="460" bestFit="1" customWidth="1"/>
    <col min="114" max="114" width="13.28515625" style="460" bestFit="1" customWidth="1"/>
    <col min="115" max="119" width="12.140625" style="460" bestFit="1" customWidth="1"/>
    <col min="120" max="120" width="12.7109375" style="460" bestFit="1" customWidth="1"/>
    <col min="121" max="121" width="12.140625" style="460" bestFit="1" customWidth="1"/>
    <col min="122" max="123" width="12.42578125" style="460" bestFit="1" customWidth="1"/>
    <col min="124" max="124" width="11.28515625" style="460" bestFit="1" customWidth="1"/>
    <col min="125" max="126" width="11.7109375" style="460" bestFit="1" customWidth="1"/>
    <col min="127" max="127" width="10.42578125" style="460" bestFit="1" customWidth="1"/>
    <col min="128" max="128" width="11.7109375" style="460" bestFit="1" customWidth="1"/>
    <col min="129" max="130" width="13.28515625" style="460" bestFit="1" customWidth="1"/>
    <col min="131" max="131" width="12.140625" style="460" bestFit="1" customWidth="1"/>
    <col min="132" max="133" width="12.42578125" style="460" bestFit="1" customWidth="1"/>
    <col min="134" max="134" width="13.28515625" style="460" bestFit="1" customWidth="1"/>
    <col min="135" max="137" width="12.7109375" style="460" bestFit="1" customWidth="1"/>
    <col min="138" max="138" width="10.42578125" style="460" bestFit="1" customWidth="1"/>
    <col min="139" max="139" width="10.28515625" style="460" bestFit="1" customWidth="1"/>
    <col min="140" max="141" width="12.7109375" style="460" bestFit="1" customWidth="1"/>
    <col min="142" max="142" width="13.28515625" style="460" bestFit="1" customWidth="1"/>
    <col min="143" max="145" width="12.140625" style="460" bestFit="1" customWidth="1"/>
    <col min="146" max="146" width="13.28515625" style="460" bestFit="1" customWidth="1"/>
    <col min="147" max="147" width="12.140625" style="460" bestFit="1" customWidth="1"/>
    <col min="148" max="148" width="13.28515625" style="460" bestFit="1" customWidth="1"/>
    <col min="149" max="149" width="14.42578125" style="460" bestFit="1" customWidth="1"/>
    <col min="150" max="150" width="12.140625" style="460" bestFit="1" customWidth="1"/>
    <col min="151" max="152" width="12.7109375" style="460" bestFit="1" customWidth="1"/>
    <col min="153" max="153" width="12.140625" style="460" bestFit="1" customWidth="1"/>
    <col min="154" max="154" width="11.7109375" style="460" bestFit="1" customWidth="1"/>
    <col min="155" max="155" width="12.7109375" style="460" bestFit="1" customWidth="1"/>
    <col min="156" max="156" width="11.7109375" style="460" bestFit="1" customWidth="1"/>
    <col min="157" max="158" width="13.28515625" style="460" bestFit="1" customWidth="1"/>
    <col min="159" max="160" width="14.42578125" style="460" bestFit="1" customWidth="1"/>
    <col min="161" max="161" width="12.7109375" style="460" bestFit="1" customWidth="1"/>
    <col min="162" max="162" width="10.7109375" style="460" bestFit="1" customWidth="1"/>
    <col min="163" max="163" width="14.140625" style="460" bestFit="1" customWidth="1"/>
    <col min="164" max="164" width="12.42578125" style="460" bestFit="1" customWidth="1"/>
    <col min="165" max="165" width="13.28515625" style="460" bestFit="1" customWidth="1"/>
    <col min="166" max="166" width="12.7109375" style="460" bestFit="1" customWidth="1"/>
    <col min="167" max="167" width="14.140625" style="460" bestFit="1" customWidth="1"/>
    <col min="168" max="168" width="14.42578125" style="460" bestFit="1" customWidth="1"/>
    <col min="169" max="169" width="12.140625" style="460" bestFit="1" customWidth="1"/>
    <col min="170" max="170" width="11.28515625" style="460" bestFit="1" customWidth="1"/>
    <col min="171" max="171" width="15" style="460" bestFit="1" customWidth="1"/>
    <col min="172" max="172" width="12.140625" style="460" bestFit="1" customWidth="1"/>
    <col min="173" max="173" width="10.7109375" style="460" bestFit="1" customWidth="1"/>
    <col min="174" max="174" width="11.7109375" style="460" bestFit="1" customWidth="1"/>
    <col min="175" max="175" width="12.140625" style="460" bestFit="1" customWidth="1"/>
    <col min="176" max="177" width="12.7109375" style="460" bestFit="1" customWidth="1"/>
    <col min="178" max="178" width="13.28515625" style="460" bestFit="1" customWidth="1"/>
    <col min="179" max="179" width="12.7109375" style="460" bestFit="1" customWidth="1"/>
    <col min="180" max="180" width="13.28515625" style="460" bestFit="1" customWidth="1"/>
    <col min="181" max="181" width="12.7109375" style="460" bestFit="1" customWidth="1"/>
    <col min="182" max="182" width="14.140625" style="460" bestFit="1" customWidth="1"/>
    <col min="183" max="183" width="14.42578125" style="460" bestFit="1" customWidth="1"/>
    <col min="184" max="184" width="11.7109375" style="460" bestFit="1" customWidth="1"/>
    <col min="185" max="185" width="12.7109375" style="460" bestFit="1" customWidth="1"/>
    <col min="186" max="186" width="12.140625" style="460" bestFit="1" customWidth="1"/>
    <col min="187" max="187" width="12.42578125" style="460" bestFit="1" customWidth="1"/>
    <col min="188" max="189" width="13.85546875" style="460" bestFit="1" customWidth="1"/>
    <col min="190" max="190" width="13.28515625" style="460" bestFit="1" customWidth="1"/>
    <col min="191" max="191" width="12.140625" style="460" bestFit="1" customWidth="1"/>
    <col min="192" max="192" width="11.28515625" style="460" bestFit="1" customWidth="1"/>
    <col min="193" max="193" width="14.42578125" style="460" bestFit="1" customWidth="1"/>
    <col min="194" max="194" width="15" style="460" bestFit="1" customWidth="1"/>
    <col min="195" max="195" width="9.28515625" style="476" bestFit="1" customWidth="1"/>
    <col min="196" max="196" width="12" style="460" bestFit="1" customWidth="1"/>
    <col min="197" max="197" width="13.42578125" style="460" bestFit="1" customWidth="1"/>
    <col min="198" max="198" width="9.140625" style="459"/>
    <col min="199" max="16384" width="9.140625" style="460"/>
  </cols>
  <sheetData>
    <row r="1" spans="1:198" ht="18.75" x14ac:dyDescent="0.3">
      <c r="A1" s="455"/>
      <c r="B1" s="456">
        <v>-59.463886327036484</v>
      </c>
      <c r="C1" s="456">
        <v>59.463886327036555</v>
      </c>
      <c r="D1" s="456"/>
      <c r="E1" s="457"/>
      <c r="F1" s="457"/>
      <c r="G1" s="457"/>
      <c r="H1" s="457"/>
      <c r="I1" s="457"/>
      <c r="J1" s="457"/>
      <c r="K1" s="457"/>
      <c r="L1" s="457"/>
      <c r="M1" s="457"/>
      <c r="N1" s="457"/>
      <c r="O1" s="457"/>
      <c r="P1" s="457"/>
      <c r="Q1" s="457"/>
      <c r="R1" s="457"/>
      <c r="S1" s="457"/>
      <c r="T1" s="457"/>
      <c r="U1" s="457"/>
      <c r="V1" s="457"/>
      <c r="W1" s="457"/>
      <c r="X1" s="457"/>
      <c r="Y1" s="457"/>
      <c r="Z1" s="457"/>
      <c r="AA1" s="457"/>
      <c r="AB1" s="457"/>
      <c r="AC1" s="457"/>
      <c r="AD1" s="457"/>
      <c r="AE1" s="457"/>
      <c r="AF1" s="457"/>
      <c r="AG1" s="457"/>
      <c r="AH1" s="457"/>
      <c r="AI1" s="457"/>
      <c r="AJ1" s="457"/>
      <c r="AK1" s="457"/>
      <c r="AL1" s="457"/>
      <c r="AM1" s="457"/>
      <c r="AN1" s="457"/>
      <c r="AO1" s="457"/>
      <c r="AP1" s="457"/>
      <c r="AQ1" s="457"/>
      <c r="AR1" s="457"/>
      <c r="AS1" s="457"/>
      <c r="AT1" s="457"/>
      <c r="AU1" s="457"/>
      <c r="AV1" s="457"/>
      <c r="AW1" s="457"/>
      <c r="AX1" s="457"/>
      <c r="AY1" s="457"/>
      <c r="AZ1" s="457"/>
      <c r="BA1" s="457"/>
      <c r="BB1" s="457"/>
      <c r="BC1" s="457"/>
      <c r="BD1" s="457"/>
      <c r="BE1" s="457"/>
      <c r="BF1" s="457"/>
      <c r="BG1" s="457"/>
      <c r="BH1" s="457"/>
      <c r="BI1" s="457"/>
      <c r="BJ1" s="457"/>
      <c r="BK1" s="457"/>
      <c r="BL1" s="457"/>
      <c r="BM1" s="457"/>
      <c r="BN1" s="457"/>
      <c r="BO1" s="457"/>
      <c r="BP1" s="457"/>
      <c r="BQ1" s="457"/>
      <c r="BR1" s="457"/>
      <c r="BS1" s="457"/>
      <c r="BT1" s="457"/>
      <c r="BU1" s="457"/>
      <c r="BV1" s="457"/>
      <c r="BW1" s="457"/>
      <c r="BX1" s="457"/>
      <c r="BY1" s="457"/>
      <c r="BZ1" s="457"/>
      <c r="CA1" s="457"/>
      <c r="CB1" s="457"/>
      <c r="CC1" s="457"/>
      <c r="CD1" s="457"/>
      <c r="CE1" s="457"/>
      <c r="CF1" s="457"/>
      <c r="CG1" s="457"/>
      <c r="CH1" s="457"/>
      <c r="CI1" s="457"/>
      <c r="CJ1" s="457"/>
      <c r="CK1" s="457"/>
      <c r="CL1" s="457"/>
      <c r="CM1" s="457"/>
      <c r="CN1" s="457"/>
      <c r="CO1" s="457"/>
      <c r="CP1" s="457"/>
      <c r="CQ1" s="457"/>
      <c r="CR1" s="457"/>
      <c r="CS1" s="457"/>
      <c r="CT1" s="457"/>
      <c r="CU1" s="457"/>
      <c r="CV1" s="457"/>
      <c r="CW1" s="457"/>
      <c r="CX1" s="457"/>
      <c r="CY1" s="457"/>
      <c r="CZ1" s="457"/>
      <c r="DA1" s="457"/>
      <c r="DB1" s="457"/>
      <c r="DC1" s="457"/>
      <c r="DD1" s="457"/>
      <c r="DE1" s="457"/>
      <c r="DF1" s="457"/>
      <c r="DG1" s="457"/>
      <c r="DH1" s="457"/>
      <c r="DI1" s="457"/>
      <c r="DJ1" s="457"/>
      <c r="DK1" s="457"/>
      <c r="DL1" s="457"/>
      <c r="DM1" s="457"/>
      <c r="DN1" s="457"/>
      <c r="DO1" s="457"/>
      <c r="DP1" s="457"/>
      <c r="DQ1" s="457"/>
      <c r="DR1" s="457"/>
      <c r="DS1" s="457"/>
      <c r="DT1" s="457"/>
      <c r="DU1" s="457"/>
      <c r="DV1" s="457"/>
      <c r="DW1" s="457"/>
      <c r="DX1" s="457"/>
      <c r="DY1" s="457"/>
      <c r="DZ1" s="457"/>
      <c r="EA1" s="457"/>
      <c r="EB1" s="457"/>
      <c r="EC1" s="457"/>
      <c r="ED1" s="457"/>
      <c r="EE1" s="457"/>
      <c r="EF1" s="457"/>
      <c r="EG1" s="457"/>
      <c r="EH1" s="457"/>
      <c r="EI1" s="457"/>
      <c r="EJ1" s="457"/>
      <c r="EK1" s="457"/>
      <c r="EL1" s="457"/>
      <c r="EM1" s="457"/>
      <c r="EN1" s="457"/>
      <c r="EO1" s="457"/>
      <c r="EP1" s="457"/>
      <c r="EQ1" s="457"/>
      <c r="ER1" s="457"/>
      <c r="ES1" s="457"/>
      <c r="ET1" s="457"/>
      <c r="EU1" s="457"/>
      <c r="EV1" s="457"/>
      <c r="EW1" s="457"/>
      <c r="EX1" s="457"/>
      <c r="EY1" s="457"/>
      <c r="EZ1" s="457"/>
      <c r="FA1" s="457"/>
      <c r="FB1" s="457"/>
      <c r="FC1" s="457"/>
      <c r="FD1" s="457"/>
      <c r="FE1" s="457"/>
      <c r="FF1" s="457"/>
      <c r="FG1" s="457"/>
      <c r="FH1" s="457"/>
      <c r="FI1" s="457"/>
      <c r="FJ1" s="457"/>
      <c r="FK1" s="457"/>
      <c r="FL1" s="457"/>
      <c r="FM1" s="457"/>
      <c r="FN1" s="457"/>
      <c r="FO1" s="457"/>
      <c r="FP1" s="457"/>
      <c r="FQ1" s="457"/>
      <c r="FR1" s="457"/>
      <c r="FS1" s="457"/>
      <c r="FT1" s="457"/>
      <c r="FU1" s="457"/>
      <c r="FV1" s="457"/>
      <c r="FW1" s="457"/>
      <c r="FX1" s="457"/>
      <c r="FY1" s="457"/>
      <c r="FZ1" s="457"/>
      <c r="GA1" s="457"/>
      <c r="GB1" s="457"/>
      <c r="GC1" s="457"/>
      <c r="GD1" s="457"/>
      <c r="GE1" s="457"/>
      <c r="GF1" s="457"/>
      <c r="GG1" s="457"/>
      <c r="GH1" s="457"/>
      <c r="GI1" s="457"/>
      <c r="GJ1" s="457"/>
      <c r="GK1" s="457"/>
      <c r="GL1" s="457"/>
      <c r="GM1" s="458"/>
      <c r="GN1" s="457"/>
      <c r="GO1" s="457"/>
    </row>
    <row r="2" spans="1:198" x14ac:dyDescent="0.25">
      <c r="A2" s="457"/>
      <c r="B2" s="460" t="s">
        <v>2254</v>
      </c>
      <c r="C2" s="460" t="s">
        <v>2255</v>
      </c>
      <c r="D2" s="457"/>
      <c r="E2" s="457"/>
      <c r="F2" s="457"/>
      <c r="G2" s="457"/>
      <c r="H2" s="457"/>
      <c r="I2" s="457"/>
      <c r="J2" s="457"/>
      <c r="K2" s="457"/>
      <c r="L2" s="457"/>
      <c r="M2" s="457"/>
      <c r="N2" s="457"/>
      <c r="O2" s="457"/>
      <c r="P2" s="457"/>
      <c r="Q2" s="457"/>
      <c r="R2" s="457"/>
      <c r="S2" s="457"/>
      <c r="T2" s="457"/>
      <c r="U2" s="457"/>
      <c r="V2" s="457"/>
      <c r="W2" s="457"/>
      <c r="X2" s="457"/>
      <c r="Y2" s="457"/>
      <c r="Z2" s="457"/>
      <c r="AA2" s="457"/>
      <c r="AB2" s="457"/>
      <c r="AC2" s="457"/>
      <c r="AD2" s="457"/>
      <c r="AE2" s="457"/>
      <c r="AF2" s="457"/>
      <c r="AG2" s="457"/>
      <c r="AH2" s="457"/>
      <c r="AI2" s="457"/>
      <c r="AJ2" s="457"/>
      <c r="AK2" s="457"/>
      <c r="AL2" s="457"/>
      <c r="AM2" s="457"/>
      <c r="AN2" s="457"/>
      <c r="AO2" s="457"/>
      <c r="AP2" s="457"/>
      <c r="AQ2" s="457"/>
      <c r="AR2" s="457"/>
      <c r="AS2" s="457"/>
      <c r="AT2" s="457"/>
      <c r="AU2" s="457"/>
      <c r="AV2" s="457"/>
      <c r="AW2" s="457"/>
      <c r="AX2" s="457"/>
      <c r="AY2" s="457"/>
      <c r="AZ2" s="457"/>
      <c r="BA2" s="457"/>
      <c r="BB2" s="457"/>
      <c r="BC2" s="457"/>
      <c r="BD2" s="457"/>
      <c r="BE2" s="457"/>
      <c r="BF2" s="457"/>
      <c r="BG2" s="457"/>
      <c r="BH2" s="457"/>
      <c r="BI2" s="457"/>
      <c r="BJ2" s="457"/>
      <c r="BK2" s="457"/>
      <c r="BL2" s="457"/>
      <c r="BM2" s="457"/>
      <c r="BN2" s="457"/>
      <c r="BO2" s="457"/>
      <c r="BP2" s="457"/>
      <c r="BQ2" s="457"/>
      <c r="BR2" s="457"/>
      <c r="BS2" s="457"/>
      <c r="BT2" s="457"/>
      <c r="BU2" s="457"/>
      <c r="BV2" s="457"/>
      <c r="BW2" s="457"/>
      <c r="BX2" s="457"/>
      <c r="BY2" s="457"/>
      <c r="BZ2" s="457"/>
      <c r="CA2" s="457"/>
      <c r="CB2" s="457"/>
      <c r="CC2" s="457"/>
      <c r="CD2" s="457"/>
      <c r="CE2" s="457"/>
      <c r="CF2" s="457"/>
      <c r="CG2" s="457"/>
      <c r="CH2" s="457"/>
      <c r="CI2" s="457"/>
      <c r="CJ2" s="457"/>
      <c r="CK2" s="457"/>
      <c r="CL2" s="457"/>
      <c r="CM2" s="457"/>
      <c r="CN2" s="457"/>
      <c r="CO2" s="457"/>
      <c r="CP2" s="457"/>
      <c r="CQ2" s="457"/>
      <c r="CR2" s="457"/>
      <c r="CS2" s="457"/>
      <c r="CT2" s="457"/>
      <c r="CU2" s="457"/>
      <c r="CV2" s="457"/>
      <c r="CW2" s="457"/>
      <c r="CX2" s="457"/>
      <c r="CY2" s="457"/>
      <c r="CZ2" s="457"/>
      <c r="DA2" s="457"/>
      <c r="DB2" s="457"/>
      <c r="DC2" s="457"/>
      <c r="DD2" s="457"/>
      <c r="DE2" s="457"/>
      <c r="DF2" s="457"/>
      <c r="DG2" s="457"/>
      <c r="DH2" s="457"/>
      <c r="DI2" s="457"/>
      <c r="DJ2" s="457"/>
      <c r="DK2" s="457"/>
      <c r="DL2" s="457"/>
      <c r="DM2" s="457"/>
      <c r="DN2" s="457"/>
      <c r="DO2" s="457"/>
      <c r="DP2" s="457"/>
      <c r="DQ2" s="457"/>
      <c r="DR2" s="457"/>
      <c r="DS2" s="457"/>
      <c r="DT2" s="457"/>
      <c r="DU2" s="457"/>
      <c r="DV2" s="457"/>
      <c r="DW2" s="457"/>
      <c r="DX2" s="457"/>
      <c r="DY2" s="457"/>
      <c r="DZ2" s="457"/>
      <c r="EA2" s="457"/>
      <c r="EB2" s="457"/>
      <c r="EC2" s="457"/>
      <c r="ED2" s="457"/>
      <c r="EE2" s="457"/>
      <c r="EF2" s="457"/>
      <c r="EG2" s="457"/>
      <c r="EH2" s="457"/>
      <c r="EI2" s="457"/>
      <c r="EJ2" s="457"/>
      <c r="EK2" s="457"/>
      <c r="EL2" s="457"/>
      <c r="EM2" s="457"/>
      <c r="EN2" s="457"/>
      <c r="EO2" s="457"/>
      <c r="EP2" s="457"/>
      <c r="EQ2" s="457"/>
      <c r="ER2" s="457"/>
      <c r="ES2" s="457"/>
      <c r="ET2" s="457"/>
      <c r="EU2" s="457"/>
      <c r="EV2" s="457"/>
      <c r="EW2" s="457"/>
      <c r="EX2" s="457"/>
      <c r="EY2" s="457"/>
      <c r="EZ2" s="457"/>
      <c r="FA2" s="457"/>
      <c r="FB2" s="457"/>
      <c r="FC2" s="457"/>
      <c r="FD2" s="457"/>
      <c r="FE2" s="457"/>
      <c r="FF2" s="457"/>
      <c r="FG2" s="457"/>
      <c r="FH2" s="457"/>
      <c r="FI2" s="457"/>
      <c r="FJ2" s="457"/>
      <c r="FK2" s="457"/>
      <c r="FL2" s="457"/>
      <c r="FM2" s="457"/>
      <c r="FN2" s="457"/>
      <c r="FO2" s="457"/>
      <c r="FP2" s="457"/>
      <c r="FQ2" s="457"/>
      <c r="FR2" s="457"/>
      <c r="FS2" s="457"/>
      <c r="FT2" s="457"/>
      <c r="FU2" s="457"/>
      <c r="FV2" s="457"/>
      <c r="FW2" s="457"/>
      <c r="FX2" s="457"/>
      <c r="FY2" s="457"/>
      <c r="FZ2" s="457"/>
      <c r="GA2" s="457"/>
      <c r="GB2" s="457"/>
      <c r="GC2" s="457"/>
      <c r="GD2" s="457"/>
      <c r="GE2" s="457"/>
      <c r="GF2" s="457"/>
      <c r="GG2" s="457"/>
      <c r="GH2" s="457"/>
      <c r="GI2" s="457"/>
      <c r="GJ2" s="457"/>
      <c r="GK2" s="457"/>
      <c r="GL2" s="457"/>
      <c r="GM2" s="458"/>
      <c r="GN2" s="457"/>
      <c r="GO2" s="457"/>
    </row>
    <row r="3" spans="1:198" x14ac:dyDescent="0.25">
      <c r="A3" s="460" t="s">
        <v>2256</v>
      </c>
      <c r="B3" s="461">
        <v>-59.463886327036484</v>
      </c>
      <c r="C3" s="461">
        <v>59.463886327036555</v>
      </c>
      <c r="D3" s="462"/>
      <c r="E3" s="463">
        <v>7.1054273576010019E-14</v>
      </c>
      <c r="F3" s="457"/>
      <c r="G3" s="457"/>
      <c r="H3" s="457"/>
      <c r="I3" s="457"/>
      <c r="J3" s="457"/>
      <c r="K3" s="457"/>
      <c r="L3" s="457"/>
      <c r="M3" s="457"/>
      <c r="N3" s="457"/>
      <c r="O3" s="457"/>
      <c r="P3" s="457"/>
      <c r="Q3" s="457"/>
      <c r="R3" s="457"/>
      <c r="S3" s="457"/>
      <c r="T3" s="457"/>
      <c r="U3" s="457"/>
      <c r="V3" s="457"/>
      <c r="W3" s="457"/>
      <c r="X3" s="457"/>
      <c r="Y3" s="457"/>
      <c r="Z3" s="457"/>
      <c r="AA3" s="457"/>
      <c r="AB3" s="457"/>
      <c r="AC3" s="457"/>
      <c r="AD3" s="457"/>
      <c r="AE3" s="457"/>
      <c r="AF3" s="457"/>
      <c r="AG3" s="457"/>
      <c r="AH3" s="457"/>
      <c r="AI3" s="457"/>
      <c r="AJ3" s="457"/>
      <c r="AK3" s="457"/>
      <c r="AL3" s="457"/>
      <c r="AM3" s="457"/>
      <c r="AN3" s="457"/>
      <c r="AO3" s="457"/>
      <c r="AP3" s="457"/>
      <c r="AQ3" s="457"/>
      <c r="AR3" s="457"/>
      <c r="AS3" s="457"/>
      <c r="AT3" s="457"/>
      <c r="AU3" s="457"/>
      <c r="AV3" s="457"/>
      <c r="AW3" s="457"/>
      <c r="AX3" s="457"/>
      <c r="AY3" s="457"/>
      <c r="AZ3" s="457"/>
      <c r="BA3" s="457"/>
      <c r="BB3" s="457"/>
      <c r="BC3" s="457"/>
      <c r="BD3" s="457"/>
      <c r="BE3" s="457"/>
      <c r="BF3" s="457"/>
      <c r="BG3" s="457"/>
      <c r="BH3" s="457"/>
      <c r="BI3" s="457"/>
      <c r="BJ3" s="457"/>
      <c r="BK3" s="457"/>
      <c r="BL3" s="457"/>
      <c r="BM3" s="457"/>
      <c r="BN3" s="457"/>
      <c r="BO3" s="457"/>
      <c r="BP3" s="457"/>
      <c r="BQ3" s="457"/>
      <c r="BR3" s="457"/>
      <c r="BS3" s="457"/>
      <c r="BT3" s="457"/>
      <c r="BU3" s="457"/>
      <c r="BV3" s="457"/>
      <c r="BW3" s="457"/>
      <c r="BX3" s="457"/>
      <c r="BY3" s="457"/>
      <c r="BZ3" s="457"/>
      <c r="CA3" s="457"/>
      <c r="CB3" s="457"/>
      <c r="CC3" s="457"/>
      <c r="CD3" s="457"/>
      <c r="CE3" s="457"/>
      <c r="CF3" s="457"/>
      <c r="CG3" s="457"/>
      <c r="CH3" s="457"/>
      <c r="CI3" s="457"/>
      <c r="CJ3" s="457"/>
      <c r="CK3" s="457"/>
      <c r="CL3" s="457"/>
      <c r="CM3" s="457"/>
      <c r="CN3" s="457"/>
      <c r="CO3" s="457"/>
      <c r="CP3" s="457"/>
      <c r="CQ3" s="457"/>
      <c r="CR3" s="457"/>
      <c r="CS3" s="457"/>
      <c r="CT3" s="457"/>
      <c r="CU3" s="457"/>
      <c r="CV3" s="457"/>
      <c r="CW3" s="457"/>
      <c r="CX3" s="457"/>
      <c r="CY3" s="457"/>
      <c r="CZ3" s="457"/>
      <c r="DA3" s="457"/>
      <c r="DB3" s="457"/>
      <c r="DC3" s="457"/>
      <c r="DD3" s="457"/>
      <c r="DE3" s="457"/>
      <c r="DF3" s="457"/>
      <c r="DG3" s="457"/>
      <c r="DH3" s="457"/>
      <c r="DI3" s="457"/>
      <c r="DJ3" s="457"/>
      <c r="DK3" s="457"/>
      <c r="DL3" s="457"/>
      <c r="DM3" s="457"/>
      <c r="DN3" s="457"/>
      <c r="DO3" s="457"/>
      <c r="DP3" s="457"/>
      <c r="DQ3" s="457"/>
      <c r="DR3" s="457"/>
      <c r="DS3" s="457"/>
      <c r="DT3" s="457"/>
      <c r="DU3" s="457"/>
      <c r="DV3" s="457"/>
      <c r="DW3" s="457"/>
      <c r="DX3" s="457"/>
      <c r="DY3" s="457"/>
      <c r="DZ3" s="457"/>
      <c r="EA3" s="457"/>
      <c r="EB3" s="457"/>
      <c r="EC3" s="457"/>
      <c r="ED3" s="457"/>
      <c r="EE3" s="457"/>
      <c r="EF3" s="457"/>
      <c r="EG3" s="457"/>
      <c r="EH3" s="457"/>
      <c r="EI3" s="457"/>
      <c r="EJ3" s="457"/>
      <c r="EK3" s="457"/>
      <c r="EL3" s="457"/>
      <c r="EM3" s="457"/>
      <c r="EN3" s="457"/>
      <c r="EO3" s="457"/>
      <c r="EP3" s="457"/>
      <c r="EQ3" s="457"/>
      <c r="ER3" s="457"/>
      <c r="ES3" s="457"/>
      <c r="ET3" s="457"/>
      <c r="EU3" s="457"/>
      <c r="EV3" s="457"/>
      <c r="EW3" s="457"/>
      <c r="EX3" s="457"/>
      <c r="EY3" s="457"/>
      <c r="EZ3" s="457"/>
      <c r="FA3" s="457"/>
      <c r="FB3" s="457"/>
      <c r="FC3" s="457"/>
      <c r="FD3" s="457"/>
      <c r="FE3" s="457"/>
      <c r="FF3" s="457"/>
      <c r="FG3" s="457"/>
      <c r="FH3" s="457"/>
      <c r="FI3" s="457"/>
      <c r="FJ3" s="457"/>
      <c r="FK3" s="457"/>
      <c r="FL3" s="457"/>
      <c r="FM3" s="457"/>
      <c r="FN3" s="457"/>
      <c r="FO3" s="457"/>
      <c r="FP3" s="457"/>
      <c r="FQ3" s="457"/>
      <c r="FR3" s="457"/>
      <c r="FS3" s="457"/>
      <c r="FT3" s="457"/>
      <c r="FU3" s="457"/>
      <c r="FV3" s="457"/>
      <c r="FW3" s="457"/>
      <c r="FX3" s="457"/>
      <c r="FY3" s="457"/>
      <c r="FZ3" s="457"/>
      <c r="GA3" s="457"/>
      <c r="GB3" s="457"/>
      <c r="GC3" s="457"/>
      <c r="GD3" s="457"/>
      <c r="GE3" s="457"/>
      <c r="GF3" s="457"/>
      <c r="GG3" s="457"/>
      <c r="GH3" s="457"/>
      <c r="GI3" s="457"/>
      <c r="GJ3" s="457"/>
      <c r="GK3" s="457"/>
      <c r="GL3" s="457"/>
      <c r="GM3" s="458"/>
      <c r="GN3" s="457"/>
      <c r="GO3" s="457"/>
    </row>
    <row r="4" spans="1:198" x14ac:dyDescent="0.25">
      <c r="A4" s="460" t="s">
        <v>2257</v>
      </c>
      <c r="B4" s="461">
        <v>0</v>
      </c>
      <c r="C4" s="461">
        <v>0</v>
      </c>
      <c r="D4" s="462"/>
      <c r="E4" s="463">
        <v>0</v>
      </c>
      <c r="F4" s="457"/>
      <c r="G4" s="457"/>
      <c r="H4" s="457"/>
      <c r="I4" s="457"/>
      <c r="J4" s="457"/>
      <c r="K4" s="457"/>
      <c r="L4" s="457"/>
      <c r="M4" s="457"/>
      <c r="N4" s="457"/>
      <c r="O4" s="457"/>
      <c r="P4" s="457"/>
      <c r="Q4" s="457"/>
      <c r="R4" s="457"/>
      <c r="S4" s="457"/>
      <c r="T4" s="457"/>
      <c r="U4" s="457"/>
      <c r="V4" s="457"/>
      <c r="W4" s="457"/>
      <c r="X4" s="457"/>
      <c r="Y4" s="457"/>
      <c r="Z4" s="457"/>
      <c r="AA4" s="457"/>
      <c r="AB4" s="457"/>
      <c r="AC4" s="457"/>
      <c r="AD4" s="457"/>
      <c r="AE4" s="457"/>
      <c r="AF4" s="457"/>
      <c r="AG4" s="457"/>
      <c r="AH4" s="457"/>
      <c r="AI4" s="457"/>
      <c r="AJ4" s="457"/>
      <c r="AK4" s="457"/>
      <c r="AL4" s="457"/>
      <c r="AM4" s="457"/>
      <c r="AN4" s="457"/>
      <c r="AO4" s="457"/>
      <c r="AP4" s="457"/>
      <c r="AQ4" s="457"/>
      <c r="AR4" s="457"/>
      <c r="AS4" s="457"/>
      <c r="AT4" s="457"/>
      <c r="AU4" s="457"/>
      <c r="AV4" s="457"/>
      <c r="AW4" s="457"/>
      <c r="AX4" s="457"/>
      <c r="AY4" s="457"/>
      <c r="AZ4" s="457"/>
      <c r="BA4" s="457"/>
      <c r="BB4" s="457"/>
      <c r="BC4" s="457"/>
      <c r="BD4" s="457"/>
      <c r="BE4" s="457"/>
      <c r="BF4" s="457"/>
      <c r="BG4" s="457"/>
      <c r="BH4" s="457"/>
      <c r="BI4" s="457"/>
      <c r="BJ4" s="457"/>
      <c r="BK4" s="457"/>
      <c r="BL4" s="457"/>
      <c r="BM4" s="457"/>
      <c r="BN4" s="457"/>
      <c r="BO4" s="457"/>
      <c r="BP4" s="457"/>
      <c r="BQ4" s="457"/>
      <c r="BR4" s="457"/>
      <c r="BS4" s="457"/>
      <c r="BT4" s="457"/>
      <c r="BU4" s="457"/>
      <c r="BV4" s="457"/>
      <c r="BW4" s="457"/>
      <c r="BX4" s="457"/>
      <c r="BY4" s="457"/>
      <c r="BZ4" s="457"/>
      <c r="CA4" s="457"/>
      <c r="CB4" s="457"/>
      <c r="CC4" s="457"/>
      <c r="CD4" s="457"/>
      <c r="CE4" s="457"/>
      <c r="CF4" s="457"/>
      <c r="CG4" s="457"/>
      <c r="CH4" s="457"/>
      <c r="CI4" s="457"/>
      <c r="CJ4" s="457"/>
      <c r="CK4" s="457"/>
      <c r="CL4" s="457"/>
      <c r="CM4" s="457"/>
      <c r="CN4" s="457"/>
      <c r="CO4" s="457"/>
      <c r="CP4" s="457"/>
      <c r="CQ4" s="457"/>
      <c r="CR4" s="457"/>
      <c r="CS4" s="457"/>
      <c r="CT4" s="457"/>
      <c r="CU4" s="457"/>
      <c r="CV4" s="457"/>
      <c r="CW4" s="457"/>
      <c r="CX4" s="457"/>
      <c r="CY4" s="457"/>
      <c r="CZ4" s="457"/>
      <c r="DA4" s="457"/>
      <c r="DB4" s="457"/>
      <c r="DC4" s="457"/>
      <c r="DD4" s="457"/>
      <c r="DE4" s="457"/>
      <c r="DF4" s="457"/>
      <c r="DG4" s="457"/>
      <c r="DH4" s="457"/>
      <c r="DI4" s="457"/>
      <c r="DJ4" s="457"/>
      <c r="DK4" s="457"/>
      <c r="DL4" s="457"/>
      <c r="DM4" s="457"/>
      <c r="DN4" s="457"/>
      <c r="DO4" s="457"/>
      <c r="DP4" s="457"/>
      <c r="DQ4" s="457"/>
      <c r="DR4" s="457"/>
      <c r="DS4" s="457"/>
      <c r="DT4" s="457"/>
      <c r="DU4" s="457"/>
      <c r="DV4" s="457"/>
      <c r="DW4" s="457"/>
      <c r="DX4" s="457"/>
      <c r="DY4" s="457"/>
      <c r="DZ4" s="457"/>
      <c r="EA4" s="457"/>
      <c r="EB4" s="457"/>
      <c r="EC4" s="457"/>
      <c r="ED4" s="457"/>
      <c r="EE4" s="457"/>
      <c r="EF4" s="457"/>
      <c r="EG4" s="457"/>
      <c r="EH4" s="457"/>
      <c r="EI4" s="457"/>
      <c r="EJ4" s="457"/>
      <c r="EK4" s="457"/>
      <c r="EL4" s="457"/>
      <c r="EM4" s="457"/>
      <c r="EN4" s="457"/>
      <c r="EO4" s="457"/>
      <c r="EP4" s="457"/>
      <c r="EQ4" s="457"/>
      <c r="ER4" s="457"/>
      <c r="ES4" s="457"/>
      <c r="ET4" s="457"/>
      <c r="EU4" s="457"/>
      <c r="EV4" s="457"/>
      <c r="EW4" s="457"/>
      <c r="EX4" s="457"/>
      <c r="EY4" s="457"/>
      <c r="EZ4" s="457"/>
      <c r="FA4" s="457"/>
      <c r="FB4" s="457"/>
      <c r="FC4" s="457"/>
      <c r="FD4" s="457"/>
      <c r="FE4" s="457"/>
      <c r="FF4" s="457"/>
      <c r="FG4" s="457"/>
      <c r="FH4" s="457"/>
      <c r="FI4" s="457"/>
      <c r="FJ4" s="457"/>
      <c r="FK4" s="457"/>
      <c r="FL4" s="457"/>
      <c r="FM4" s="457"/>
      <c r="FN4" s="457"/>
      <c r="FO4" s="457"/>
      <c r="FP4" s="457"/>
      <c r="FQ4" s="457"/>
      <c r="FR4" s="457"/>
      <c r="FS4" s="457"/>
      <c r="FT4" s="457"/>
      <c r="FU4" s="457"/>
      <c r="FV4" s="457"/>
      <c r="FW4" s="457"/>
      <c r="FX4" s="457"/>
      <c r="FY4" s="457"/>
      <c r="FZ4" s="457"/>
      <c r="GA4" s="457"/>
      <c r="GB4" s="457"/>
      <c r="GC4" s="457"/>
      <c r="GD4" s="457"/>
      <c r="GE4" s="457"/>
      <c r="GF4" s="457"/>
      <c r="GG4" s="457"/>
      <c r="GH4" s="457"/>
      <c r="GI4" s="457"/>
      <c r="GJ4" s="457"/>
      <c r="GK4" s="457"/>
      <c r="GL4" s="457"/>
      <c r="GM4" s="458"/>
      <c r="GN4" s="457"/>
      <c r="GO4" s="457"/>
    </row>
    <row r="5" spans="1:198" x14ac:dyDescent="0.25">
      <c r="A5" s="460" t="s">
        <v>2258</v>
      </c>
      <c r="B5" s="461">
        <v>2.6922908347160046E-15</v>
      </c>
      <c r="C5" s="461">
        <v>-2.7755575615628914E-17</v>
      </c>
      <c r="D5" s="462"/>
      <c r="E5" s="463">
        <v>2.6645352591003757E-15</v>
      </c>
      <c r="F5" s="457"/>
      <c r="G5" s="457"/>
      <c r="H5" s="457"/>
      <c r="I5" s="457"/>
      <c r="J5" s="457"/>
      <c r="K5" s="457"/>
      <c r="L5" s="457"/>
      <c r="M5" s="457"/>
      <c r="N5" s="457"/>
      <c r="O5" s="457"/>
      <c r="P5" s="457"/>
      <c r="Q5" s="457"/>
      <c r="R5" s="457"/>
      <c r="S5" s="457"/>
      <c r="T5" s="457"/>
      <c r="U5" s="457"/>
      <c r="V5" s="457"/>
      <c r="W5" s="457"/>
      <c r="X5" s="457"/>
      <c r="Y5" s="457"/>
      <c r="Z5" s="457"/>
      <c r="AA5" s="457"/>
      <c r="AB5" s="457"/>
      <c r="AC5" s="457"/>
      <c r="AD5" s="457"/>
      <c r="AE5" s="457"/>
      <c r="AF5" s="457"/>
      <c r="AG5" s="457"/>
      <c r="AH5" s="464"/>
      <c r="AI5" s="464"/>
      <c r="AJ5" s="464"/>
      <c r="AK5" s="457"/>
      <c r="AL5" s="457"/>
      <c r="AM5" s="457"/>
      <c r="AN5" s="457"/>
      <c r="AO5" s="457"/>
      <c r="AP5" s="457"/>
      <c r="AQ5" s="457"/>
      <c r="AR5" s="457"/>
      <c r="AS5" s="457"/>
      <c r="AT5" s="457"/>
      <c r="AU5" s="457"/>
      <c r="AV5" s="457"/>
      <c r="AW5" s="457"/>
      <c r="AX5" s="457"/>
      <c r="AY5" s="457"/>
      <c r="AZ5" s="457"/>
      <c r="BA5" s="457"/>
      <c r="BB5" s="457"/>
      <c r="BC5" s="457"/>
      <c r="BD5" s="457"/>
      <c r="BE5" s="457"/>
      <c r="BF5" s="457"/>
      <c r="BG5" s="457"/>
      <c r="BH5" s="457"/>
      <c r="BI5" s="457"/>
      <c r="BJ5" s="457"/>
      <c r="BK5" s="457"/>
      <c r="BL5" s="457"/>
      <c r="BM5" s="457"/>
      <c r="BN5" s="457"/>
      <c r="BO5" s="457"/>
      <c r="BP5" s="457"/>
      <c r="BQ5" s="457"/>
      <c r="BR5" s="457"/>
      <c r="BS5" s="457"/>
      <c r="BT5" s="457"/>
      <c r="BU5" s="457"/>
      <c r="BV5" s="457"/>
      <c r="BW5" s="457"/>
      <c r="BX5" s="457"/>
      <c r="BY5" s="457"/>
      <c r="BZ5" s="457"/>
      <c r="CA5" s="457"/>
      <c r="CB5" s="457"/>
      <c r="CC5" s="457"/>
      <c r="CD5" s="457"/>
      <c r="CE5" s="457"/>
      <c r="CF5" s="457"/>
      <c r="CG5" s="457"/>
      <c r="CH5" s="457"/>
      <c r="CI5" s="457"/>
      <c r="CJ5" s="457"/>
      <c r="CK5" s="457"/>
      <c r="CL5" s="457"/>
      <c r="CM5" s="457"/>
      <c r="CN5" s="457"/>
      <c r="CO5" s="457"/>
      <c r="CP5" s="457"/>
      <c r="CQ5" s="457"/>
      <c r="CR5" s="457"/>
      <c r="CS5" s="457"/>
      <c r="CT5" s="457"/>
      <c r="CU5" s="457"/>
      <c r="CV5" s="457"/>
      <c r="CW5" s="457"/>
      <c r="CX5" s="457"/>
      <c r="CY5" s="457"/>
      <c r="CZ5" s="457"/>
      <c r="DA5" s="457"/>
      <c r="DB5" s="457"/>
      <c r="DC5" s="457"/>
      <c r="DD5" s="457"/>
      <c r="DE5" s="457"/>
      <c r="DF5" s="457"/>
      <c r="DG5" s="457"/>
      <c r="DH5" s="457"/>
      <c r="DI5" s="457"/>
      <c r="DJ5" s="457"/>
      <c r="DK5" s="457"/>
      <c r="DL5" s="457"/>
      <c r="DM5" s="457"/>
      <c r="DN5" s="457"/>
      <c r="DO5" s="457"/>
      <c r="DP5" s="457"/>
      <c r="DQ5" s="457"/>
      <c r="DR5" s="457"/>
      <c r="DS5" s="457"/>
      <c r="DT5" s="457"/>
      <c r="DU5" s="457"/>
      <c r="DV5" s="457"/>
      <c r="DW5" s="457"/>
      <c r="DX5" s="457"/>
      <c r="DY5" s="457"/>
      <c r="DZ5" s="457"/>
      <c r="EA5" s="457"/>
      <c r="EB5" s="457"/>
      <c r="EC5" s="457"/>
      <c r="ED5" s="457"/>
      <c r="EE5" s="457"/>
      <c r="EF5" s="457"/>
      <c r="EG5" s="457"/>
      <c r="EH5" s="457"/>
      <c r="EI5" s="457"/>
      <c r="EJ5" s="457"/>
      <c r="EK5" s="457"/>
      <c r="EL5" s="457"/>
      <c r="EM5" s="457"/>
      <c r="EN5" s="457"/>
      <c r="EO5" s="457"/>
      <c r="EP5" s="457"/>
      <c r="EQ5" s="457"/>
      <c r="ER5" s="457"/>
      <c r="ES5" s="457"/>
      <c r="ET5" s="457"/>
      <c r="EU5" s="457"/>
      <c r="EV5" s="457"/>
      <c r="EW5" s="457"/>
      <c r="EX5" s="457"/>
      <c r="EY5" s="457"/>
      <c r="EZ5" s="457"/>
      <c r="FA5" s="457"/>
      <c r="FB5" s="457"/>
      <c r="FC5" s="457"/>
      <c r="FD5" s="457"/>
      <c r="FE5" s="457"/>
      <c r="FF5" s="457"/>
      <c r="FG5" s="457"/>
      <c r="FH5" s="457"/>
      <c r="FI5" s="457"/>
      <c r="FJ5" s="457"/>
      <c r="FK5" s="457"/>
      <c r="FL5" s="457"/>
      <c r="FM5" s="457"/>
      <c r="FN5" s="457"/>
      <c r="FO5" s="457"/>
      <c r="FP5" s="457"/>
      <c r="FQ5" s="457"/>
      <c r="FR5" s="457"/>
      <c r="FS5" s="457"/>
      <c r="FT5" s="457"/>
      <c r="FU5" s="457"/>
      <c r="FV5" s="457"/>
      <c r="FW5" s="457"/>
      <c r="FX5" s="457"/>
      <c r="FY5" s="457"/>
      <c r="FZ5" s="457"/>
      <c r="GA5" s="457"/>
      <c r="GB5" s="457"/>
      <c r="GC5" s="457"/>
      <c r="GD5" s="457"/>
      <c r="GE5" s="457"/>
      <c r="GF5" s="457"/>
      <c r="GG5" s="457"/>
      <c r="GH5" s="457"/>
      <c r="GI5" s="457"/>
      <c r="GJ5" s="457"/>
      <c r="GK5" s="457"/>
      <c r="GL5" s="457"/>
      <c r="GM5" s="458"/>
      <c r="GN5" s="457"/>
      <c r="GO5" s="457"/>
    </row>
    <row r="6" spans="1:198" x14ac:dyDescent="0.25">
      <c r="A6" s="457"/>
      <c r="B6" s="457"/>
      <c r="C6" s="457"/>
      <c r="D6" s="457"/>
      <c r="E6" s="457"/>
      <c r="F6" s="457"/>
      <c r="G6" s="457"/>
      <c r="H6" s="457"/>
      <c r="I6" s="457"/>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6"/>
      <c r="CQ6" s="456"/>
      <c r="CR6" s="456"/>
      <c r="CS6" s="456"/>
      <c r="CT6" s="456"/>
      <c r="CU6" s="456"/>
      <c r="CV6" s="456"/>
      <c r="CW6" s="456"/>
      <c r="CX6" s="456"/>
      <c r="CY6" s="456"/>
      <c r="CZ6" s="456"/>
      <c r="DA6" s="456"/>
      <c r="DB6" s="456"/>
      <c r="DC6" s="456"/>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8"/>
      <c r="GN6" s="457"/>
      <c r="GO6" s="457"/>
    </row>
    <row r="7" spans="1:198" x14ac:dyDescent="0.25">
      <c r="A7" s="457"/>
      <c r="B7" s="465" t="s">
        <v>2259</v>
      </c>
      <c r="C7" s="465" t="s">
        <v>2260</v>
      </c>
      <c r="D7" s="465" t="s">
        <v>2261</v>
      </c>
      <c r="E7" s="465" t="s">
        <v>2262</v>
      </c>
      <c r="F7" s="465" t="s">
        <v>2263</v>
      </c>
      <c r="G7" s="465" t="s">
        <v>2264</v>
      </c>
      <c r="H7" s="465" t="s">
        <v>2265</v>
      </c>
      <c r="I7" s="465" t="s">
        <v>2266</v>
      </c>
      <c r="J7" s="465" t="s">
        <v>2267</v>
      </c>
      <c r="K7" s="465" t="s">
        <v>2268</v>
      </c>
      <c r="L7" s="465" t="s">
        <v>2269</v>
      </c>
      <c r="M7" s="465" t="s">
        <v>2270</v>
      </c>
      <c r="N7" s="465" t="s">
        <v>1652</v>
      </c>
      <c r="O7" s="465" t="s">
        <v>1651</v>
      </c>
      <c r="P7" s="465" t="s">
        <v>1650</v>
      </c>
      <c r="Q7" s="465" t="s">
        <v>1649</v>
      </c>
      <c r="R7" s="465" t="s">
        <v>1645</v>
      </c>
      <c r="S7" s="465" t="s">
        <v>2271</v>
      </c>
      <c r="T7" s="465" t="s">
        <v>1648</v>
      </c>
      <c r="U7" s="465" t="s">
        <v>1647</v>
      </c>
      <c r="V7" s="465" t="s">
        <v>2272</v>
      </c>
      <c r="W7" s="465" t="s">
        <v>2273</v>
      </c>
      <c r="X7" s="465" t="s">
        <v>2274</v>
      </c>
      <c r="Y7" s="465" t="s">
        <v>2275</v>
      </c>
      <c r="Z7" s="465" t="s">
        <v>2276</v>
      </c>
      <c r="AA7" s="465" t="s">
        <v>2277</v>
      </c>
      <c r="AB7" s="465" t="s">
        <v>2278</v>
      </c>
      <c r="AC7" s="465" t="s">
        <v>2279</v>
      </c>
      <c r="AD7" s="465" t="s">
        <v>2280</v>
      </c>
      <c r="AE7" s="465" t="s">
        <v>2281</v>
      </c>
      <c r="AF7" s="465" t="s">
        <v>2282</v>
      </c>
      <c r="AG7" s="465" t="s">
        <v>2283</v>
      </c>
      <c r="AH7" s="465" t="s">
        <v>2284</v>
      </c>
      <c r="AI7" s="465" t="s">
        <v>1642</v>
      </c>
      <c r="AJ7" s="465" t="s">
        <v>1641</v>
      </c>
      <c r="AK7" s="465" t="s">
        <v>1640</v>
      </c>
      <c r="AL7" s="465" t="s">
        <v>1639</v>
      </c>
      <c r="AM7" s="465" t="s">
        <v>1638</v>
      </c>
      <c r="AN7" s="465" t="s">
        <v>1637</v>
      </c>
      <c r="AO7" s="465" t="s">
        <v>1636</v>
      </c>
      <c r="AP7" s="465" t="s">
        <v>1635</v>
      </c>
      <c r="AQ7" s="465" t="s">
        <v>1634</v>
      </c>
      <c r="AR7" s="465" t="s">
        <v>1644</v>
      </c>
      <c r="AS7" s="465" t="s">
        <v>2285</v>
      </c>
      <c r="AT7" s="465" t="s">
        <v>1633</v>
      </c>
      <c r="AU7" s="465" t="s">
        <v>1632</v>
      </c>
      <c r="AV7" s="465" t="s">
        <v>1631</v>
      </c>
      <c r="AW7" s="465" t="s">
        <v>1630</v>
      </c>
      <c r="AX7" s="465" t="s">
        <v>1628</v>
      </c>
      <c r="AY7" s="465" t="s">
        <v>1627</v>
      </c>
      <c r="AZ7" s="465" t="s">
        <v>1626</v>
      </c>
      <c r="BA7" s="465" t="s">
        <v>1625</v>
      </c>
      <c r="BB7" s="465" t="s">
        <v>1624</v>
      </c>
      <c r="BC7" s="465" t="s">
        <v>2286</v>
      </c>
      <c r="BD7" s="465" t="s">
        <v>2287</v>
      </c>
      <c r="BE7" s="465" t="s">
        <v>1623</v>
      </c>
      <c r="BF7" s="465" t="s">
        <v>1622</v>
      </c>
      <c r="BG7" s="465" t="s">
        <v>1621</v>
      </c>
      <c r="BH7" s="465" t="s">
        <v>1620</v>
      </c>
      <c r="BI7" s="465" t="s">
        <v>1619</v>
      </c>
      <c r="BJ7" s="465" t="s">
        <v>1618</v>
      </c>
      <c r="BK7" s="465" t="s">
        <v>1617</v>
      </c>
      <c r="BL7" s="465" t="s">
        <v>1616</v>
      </c>
      <c r="BM7" s="465" t="s">
        <v>1615</v>
      </c>
      <c r="BN7" s="465" t="s">
        <v>1614</v>
      </c>
      <c r="BO7" s="465" t="s">
        <v>1613</v>
      </c>
      <c r="BP7" s="465" t="s">
        <v>1609</v>
      </c>
      <c r="BQ7" s="465" t="s">
        <v>1608</v>
      </c>
      <c r="BR7" s="465" t="s">
        <v>2288</v>
      </c>
      <c r="BS7" s="465" t="s">
        <v>2289</v>
      </c>
      <c r="BT7" s="465" t="s">
        <v>2290</v>
      </c>
      <c r="BU7" s="465" t="s">
        <v>1610</v>
      </c>
      <c r="BV7" s="465" t="s">
        <v>1607</v>
      </c>
      <c r="BW7" s="465" t="s">
        <v>1606</v>
      </c>
      <c r="BX7" s="465" t="s">
        <v>1605</v>
      </c>
      <c r="BY7" s="465" t="s">
        <v>1604</v>
      </c>
      <c r="BZ7" s="465" t="s">
        <v>1603</v>
      </c>
      <c r="CA7" s="465" t="s">
        <v>2291</v>
      </c>
      <c r="CB7" s="465" t="s">
        <v>2292</v>
      </c>
      <c r="CC7" s="465" t="s">
        <v>2293</v>
      </c>
      <c r="CD7" s="465" t="s">
        <v>2294</v>
      </c>
      <c r="CE7" s="465" t="s">
        <v>2295</v>
      </c>
      <c r="CF7" s="465" t="s">
        <v>2296</v>
      </c>
      <c r="CG7" s="465" t="s">
        <v>2297</v>
      </c>
      <c r="CH7" s="465" t="s">
        <v>2298</v>
      </c>
      <c r="CI7" s="465" t="s">
        <v>2299</v>
      </c>
      <c r="CJ7" s="465" t="s">
        <v>2300</v>
      </c>
      <c r="CK7" s="465" t="s">
        <v>2301</v>
      </c>
      <c r="CL7" s="465" t="s">
        <v>2302</v>
      </c>
      <c r="CM7" s="465" t="s">
        <v>1601</v>
      </c>
      <c r="CN7" s="465" t="s">
        <v>1600</v>
      </c>
      <c r="CO7" s="465" t="s">
        <v>1599</v>
      </c>
      <c r="CP7" s="465" t="s">
        <v>1598</v>
      </c>
      <c r="CQ7" s="465" t="s">
        <v>1595</v>
      </c>
      <c r="CR7" s="465" t="s">
        <v>1594</v>
      </c>
      <c r="CS7" s="465" t="s">
        <v>2303</v>
      </c>
      <c r="CT7" s="465" t="s">
        <v>1597</v>
      </c>
      <c r="CU7" s="465" t="s">
        <v>1596</v>
      </c>
      <c r="CV7" s="465" t="s">
        <v>2304</v>
      </c>
      <c r="CW7" s="465" t="s">
        <v>2305</v>
      </c>
      <c r="CX7" s="465" t="s">
        <v>2306</v>
      </c>
      <c r="CY7" s="465" t="s">
        <v>2307</v>
      </c>
      <c r="CZ7" s="465" t="s">
        <v>2308</v>
      </c>
      <c r="DA7" s="465" t="s">
        <v>2309</v>
      </c>
      <c r="DB7" s="465" t="s">
        <v>2310</v>
      </c>
      <c r="DC7" s="465" t="s">
        <v>2311</v>
      </c>
      <c r="DD7" s="465" t="s">
        <v>2312</v>
      </c>
      <c r="DE7" s="465" t="s">
        <v>2313</v>
      </c>
      <c r="DF7" s="465" t="s">
        <v>2314</v>
      </c>
      <c r="DG7" s="465" t="s">
        <v>2315</v>
      </c>
      <c r="DH7" s="465" t="s">
        <v>2316</v>
      </c>
      <c r="DI7" s="465" t="s">
        <v>1591</v>
      </c>
      <c r="DJ7" s="465" t="s">
        <v>1590</v>
      </c>
      <c r="DK7" s="465" t="s">
        <v>1589</v>
      </c>
      <c r="DL7" s="465" t="s">
        <v>1588</v>
      </c>
      <c r="DM7" s="465" t="s">
        <v>1587</v>
      </c>
      <c r="DN7" s="465" t="s">
        <v>1586</v>
      </c>
      <c r="DO7" s="465" t="s">
        <v>1585</v>
      </c>
      <c r="DP7" s="465" t="s">
        <v>1584</v>
      </c>
      <c r="DQ7" s="465" t="s">
        <v>2317</v>
      </c>
      <c r="DR7" s="465" t="s">
        <v>2318</v>
      </c>
      <c r="DS7" s="465" t="s">
        <v>2319</v>
      </c>
      <c r="DT7" s="465" t="s">
        <v>2320</v>
      </c>
      <c r="DU7" s="465" t="s">
        <v>2321</v>
      </c>
      <c r="DV7" s="465" t="s">
        <v>1593</v>
      </c>
      <c r="DW7" s="465" t="s">
        <v>2322</v>
      </c>
      <c r="DX7" s="465" t="s">
        <v>1580</v>
      </c>
      <c r="DY7" s="465" t="s">
        <v>1579</v>
      </c>
      <c r="DZ7" s="465" t="s">
        <v>1578</v>
      </c>
      <c r="EA7" s="465" t="s">
        <v>1577</v>
      </c>
      <c r="EB7" s="465" t="s">
        <v>1575</v>
      </c>
      <c r="EC7" s="465" t="s">
        <v>1574</v>
      </c>
      <c r="ED7" s="465" t="s">
        <v>1573</v>
      </c>
      <c r="EE7" s="465" t="s">
        <v>1572</v>
      </c>
      <c r="EF7" s="465" t="s">
        <v>1571</v>
      </c>
      <c r="EG7" s="465" t="s">
        <v>2323</v>
      </c>
      <c r="EH7" s="465" t="s">
        <v>2324</v>
      </c>
      <c r="EI7" s="465" t="s">
        <v>1570</v>
      </c>
      <c r="EJ7" s="465" t="s">
        <v>1569</v>
      </c>
      <c r="EK7" s="465" t="s">
        <v>1568</v>
      </c>
      <c r="EL7" s="465" t="s">
        <v>1567</v>
      </c>
      <c r="EM7" s="465" t="s">
        <v>1566</v>
      </c>
      <c r="EN7" s="465" t="s">
        <v>1565</v>
      </c>
      <c r="EO7" s="465" t="s">
        <v>1564</v>
      </c>
      <c r="EP7" s="465" t="s">
        <v>1563</v>
      </c>
      <c r="EQ7" s="465" t="s">
        <v>1562</v>
      </c>
      <c r="ER7" s="465" t="s">
        <v>1561</v>
      </c>
      <c r="ES7" s="465" t="s">
        <v>1560</v>
      </c>
      <c r="ET7" s="465" t="s">
        <v>1559</v>
      </c>
      <c r="EU7" s="465" t="s">
        <v>1558</v>
      </c>
      <c r="EV7" s="465" t="s">
        <v>1557</v>
      </c>
      <c r="EW7" s="465" t="s">
        <v>1556</v>
      </c>
      <c r="EX7" s="465" t="s">
        <v>2325</v>
      </c>
      <c r="EY7" s="465" t="s">
        <v>1555</v>
      </c>
      <c r="EZ7" s="465" t="s">
        <v>1554</v>
      </c>
      <c r="FA7" s="465" t="s">
        <v>1553</v>
      </c>
      <c r="FB7" s="465" t="s">
        <v>1552</v>
      </c>
      <c r="FC7" s="465" t="s">
        <v>1551</v>
      </c>
      <c r="FD7" s="465" t="s">
        <v>1550</v>
      </c>
      <c r="FE7" s="465" t="s">
        <v>1549</v>
      </c>
      <c r="FF7" s="465" t="s">
        <v>1548</v>
      </c>
      <c r="FG7" s="465" t="s">
        <v>1454</v>
      </c>
      <c r="FH7" s="465" t="s">
        <v>1453</v>
      </c>
      <c r="FI7" s="465" t="s">
        <v>1452</v>
      </c>
      <c r="FJ7" s="465" t="s">
        <v>1451</v>
      </c>
      <c r="FK7" s="465" t="s">
        <v>1547</v>
      </c>
      <c r="FL7" s="465" t="s">
        <v>1546</v>
      </c>
      <c r="FM7" s="465" t="s">
        <v>2326</v>
      </c>
      <c r="FN7" s="465" t="s">
        <v>1545</v>
      </c>
      <c r="FO7" s="465" t="s">
        <v>1544</v>
      </c>
      <c r="FP7" s="465" t="s">
        <v>1543</v>
      </c>
      <c r="FQ7" s="465" t="s">
        <v>1542</v>
      </c>
      <c r="FR7" s="465" t="s">
        <v>1541</v>
      </c>
      <c r="FS7" s="465" t="s">
        <v>1540</v>
      </c>
      <c r="FT7" s="465" t="s">
        <v>1539</v>
      </c>
      <c r="FU7" s="465" t="s">
        <v>1538</v>
      </c>
      <c r="FV7" s="465" t="s">
        <v>1537</v>
      </c>
      <c r="FW7" s="465" t="s">
        <v>1536</v>
      </c>
      <c r="FX7" s="465" t="s">
        <v>1535</v>
      </c>
      <c r="FY7" s="465" t="s">
        <v>2327</v>
      </c>
      <c r="FZ7" s="465" t="s">
        <v>1529</v>
      </c>
      <c r="GA7" s="465" t="s">
        <v>1528</v>
      </c>
      <c r="GB7" s="465" t="s">
        <v>1527</v>
      </c>
      <c r="GC7" s="465" t="s">
        <v>1526</v>
      </c>
      <c r="GD7" s="466" t="s">
        <v>1525</v>
      </c>
      <c r="GE7" s="466" t="s">
        <v>1524</v>
      </c>
      <c r="GF7" s="466" t="s">
        <v>1523</v>
      </c>
      <c r="GG7" s="466" t="s">
        <v>1522</v>
      </c>
      <c r="GH7" s="466" t="s">
        <v>1521</v>
      </c>
      <c r="GI7" s="466" t="s">
        <v>1520</v>
      </c>
      <c r="GJ7" s="466" t="s">
        <v>1519</v>
      </c>
      <c r="GK7" s="466" t="s">
        <v>1518</v>
      </c>
      <c r="GL7" s="466" t="s">
        <v>1517</v>
      </c>
      <c r="GM7" s="467"/>
      <c r="GN7" s="457"/>
      <c r="GO7" s="457"/>
      <c r="GP7" s="468"/>
    </row>
    <row r="8" spans="1:198" x14ac:dyDescent="0.25">
      <c r="A8" s="465" t="s">
        <v>2259</v>
      </c>
      <c r="B8" s="461"/>
      <c r="C8" s="461"/>
      <c r="D8" s="461"/>
      <c r="E8" s="461"/>
      <c r="F8" s="461"/>
      <c r="G8" s="461"/>
      <c r="H8" s="461"/>
      <c r="I8" s="461"/>
      <c r="J8" s="461"/>
      <c r="K8" s="461"/>
      <c r="L8" s="461"/>
      <c r="M8" s="461"/>
      <c r="N8" s="461"/>
      <c r="O8" s="461"/>
      <c r="P8" s="461"/>
      <c r="Q8" s="461"/>
      <c r="R8" s="461"/>
      <c r="S8" s="461"/>
      <c r="T8" s="461"/>
      <c r="U8" s="461"/>
      <c r="V8" s="461"/>
      <c r="W8" s="461"/>
      <c r="X8" s="461"/>
      <c r="Y8" s="461"/>
      <c r="Z8" s="461"/>
      <c r="AA8" s="461"/>
      <c r="AB8" s="461"/>
      <c r="AC8" s="461"/>
      <c r="AD8" s="461"/>
      <c r="AE8" s="461"/>
      <c r="AF8" s="461"/>
      <c r="AG8" s="461"/>
      <c r="AH8" s="461"/>
      <c r="AI8" s="461"/>
      <c r="AJ8" s="461"/>
      <c r="AK8" s="461"/>
      <c r="AL8" s="461"/>
      <c r="AM8" s="461"/>
      <c r="AN8" s="461"/>
      <c r="AO8" s="461"/>
      <c r="AP8" s="461"/>
      <c r="AQ8" s="461"/>
      <c r="AR8" s="461"/>
      <c r="AS8" s="461"/>
      <c r="AT8" s="461"/>
      <c r="AU8" s="461"/>
      <c r="AV8" s="461"/>
      <c r="AW8" s="461"/>
      <c r="AX8" s="461"/>
      <c r="AY8" s="461"/>
      <c r="AZ8" s="461"/>
      <c r="BA8" s="461"/>
      <c r="BB8" s="461"/>
      <c r="BC8" s="461"/>
      <c r="BD8" s="461"/>
      <c r="BE8" s="461"/>
      <c r="BF8" s="461"/>
      <c r="BG8" s="461"/>
      <c r="BH8" s="461"/>
      <c r="BI8" s="461"/>
      <c r="BJ8" s="461"/>
      <c r="BK8" s="461"/>
      <c r="BL8" s="461"/>
      <c r="BM8" s="461"/>
      <c r="BN8" s="461"/>
      <c r="BO8" s="461"/>
      <c r="BP8" s="461"/>
      <c r="BQ8" s="461"/>
      <c r="BR8" s="461"/>
      <c r="BS8" s="461"/>
      <c r="BT8" s="461"/>
      <c r="BU8" s="461"/>
      <c r="BV8" s="461"/>
      <c r="BW8" s="461"/>
      <c r="BX8" s="461"/>
      <c r="BY8" s="461"/>
      <c r="BZ8" s="461"/>
      <c r="CA8" s="461">
        <v>7.3693769315691409</v>
      </c>
      <c r="CB8" s="461"/>
      <c r="CC8" s="461"/>
      <c r="CD8" s="461"/>
      <c r="CE8" s="461"/>
      <c r="CF8" s="461"/>
      <c r="CG8" s="461"/>
      <c r="CH8" s="461"/>
      <c r="CI8" s="461"/>
      <c r="CJ8" s="461"/>
      <c r="CK8" s="461"/>
      <c r="CL8" s="461"/>
      <c r="CM8" s="461"/>
      <c r="CN8" s="461"/>
      <c r="CO8" s="461"/>
      <c r="CP8" s="461"/>
      <c r="CQ8" s="461"/>
      <c r="CR8" s="461"/>
      <c r="CS8" s="461"/>
      <c r="CT8" s="461"/>
      <c r="CU8" s="461"/>
      <c r="CV8" s="461"/>
      <c r="CW8" s="461"/>
      <c r="CX8" s="461"/>
      <c r="CY8" s="461"/>
      <c r="CZ8" s="461"/>
      <c r="DA8" s="461"/>
      <c r="DB8" s="461"/>
      <c r="DC8" s="461"/>
      <c r="DD8" s="461"/>
      <c r="DE8" s="461"/>
      <c r="DF8" s="461"/>
      <c r="DG8" s="461"/>
      <c r="DH8" s="461"/>
      <c r="DI8" s="461"/>
      <c r="DJ8" s="461"/>
      <c r="DK8" s="461"/>
      <c r="DL8" s="461"/>
      <c r="DM8" s="461"/>
      <c r="DN8" s="461"/>
      <c r="DO8" s="461"/>
      <c r="DP8" s="461"/>
      <c r="DQ8" s="461"/>
      <c r="DR8" s="461"/>
      <c r="DS8" s="461"/>
      <c r="DT8" s="461"/>
      <c r="DU8" s="461"/>
      <c r="DV8" s="461"/>
      <c r="DW8" s="461"/>
      <c r="DX8" s="461"/>
      <c r="DY8" s="461"/>
      <c r="DZ8" s="461"/>
      <c r="EA8" s="461"/>
      <c r="EB8" s="461"/>
      <c r="EC8" s="461"/>
      <c r="ED8" s="461"/>
      <c r="EE8" s="461"/>
      <c r="EF8" s="461"/>
      <c r="EG8" s="461"/>
      <c r="EH8" s="461"/>
      <c r="EI8" s="461"/>
      <c r="EJ8" s="461"/>
      <c r="EK8" s="461"/>
      <c r="EL8" s="461"/>
      <c r="EM8" s="461"/>
      <c r="EN8" s="461"/>
      <c r="EO8" s="461"/>
      <c r="EP8" s="461"/>
      <c r="EQ8" s="461"/>
      <c r="ER8" s="461"/>
      <c r="ES8" s="461"/>
      <c r="ET8" s="461"/>
      <c r="EU8" s="461"/>
      <c r="EV8" s="461"/>
      <c r="EW8" s="461"/>
      <c r="EX8" s="461"/>
      <c r="EY8" s="461"/>
      <c r="EZ8" s="461"/>
      <c r="FA8" s="461"/>
      <c r="FB8" s="461"/>
      <c r="FC8" s="461"/>
      <c r="FD8" s="461"/>
      <c r="FE8" s="461"/>
      <c r="FF8" s="461"/>
      <c r="FG8" s="461"/>
      <c r="FH8" s="461"/>
      <c r="FI8" s="461"/>
      <c r="FJ8" s="461"/>
      <c r="FK8" s="461"/>
      <c r="FL8" s="461"/>
      <c r="FM8" s="461"/>
      <c r="FN8" s="461"/>
      <c r="FO8" s="461"/>
      <c r="FP8" s="461"/>
      <c r="FQ8" s="461"/>
      <c r="FR8" s="461"/>
      <c r="FS8" s="461"/>
      <c r="FT8" s="461"/>
      <c r="FU8" s="461"/>
      <c r="FV8" s="461"/>
      <c r="FW8" s="461"/>
      <c r="FX8" s="461"/>
      <c r="FY8" s="461"/>
      <c r="FZ8" s="461"/>
      <c r="GA8" s="461"/>
      <c r="GB8" s="461"/>
      <c r="GC8" s="461"/>
      <c r="GD8" s="469"/>
      <c r="GE8" s="469"/>
      <c r="GF8" s="469"/>
      <c r="GG8" s="469"/>
      <c r="GH8" s="469"/>
      <c r="GI8" s="469"/>
      <c r="GJ8" s="469"/>
      <c r="GK8" s="469"/>
      <c r="GL8" s="469">
        <v>7.3693769315691409</v>
      </c>
      <c r="GM8" s="458"/>
      <c r="GN8" s="469"/>
      <c r="GO8" s="469"/>
      <c r="GP8" s="468"/>
    </row>
    <row r="9" spans="1:198" x14ac:dyDescent="0.25">
      <c r="A9" s="465" t="s">
        <v>2260</v>
      </c>
      <c r="B9" s="461"/>
      <c r="C9" s="461"/>
      <c r="D9" s="461"/>
      <c r="E9" s="461"/>
      <c r="F9" s="461"/>
      <c r="G9" s="461"/>
      <c r="H9" s="461"/>
      <c r="I9" s="461"/>
      <c r="J9" s="461"/>
      <c r="K9" s="461"/>
      <c r="L9" s="461"/>
      <c r="M9" s="461"/>
      <c r="N9" s="461"/>
      <c r="O9" s="461"/>
      <c r="P9" s="461"/>
      <c r="Q9" s="461"/>
      <c r="R9" s="461"/>
      <c r="S9" s="461"/>
      <c r="T9" s="461"/>
      <c r="U9" s="461"/>
      <c r="V9" s="461"/>
      <c r="W9" s="461"/>
      <c r="X9" s="461"/>
      <c r="Y9" s="461"/>
      <c r="Z9" s="461"/>
      <c r="AA9" s="461"/>
      <c r="AB9" s="461"/>
      <c r="AC9" s="461"/>
      <c r="AD9" s="461"/>
      <c r="AE9" s="461"/>
      <c r="AF9" s="461"/>
      <c r="AG9" s="461"/>
      <c r="AH9" s="461"/>
      <c r="AI9" s="461"/>
      <c r="AJ9" s="461"/>
      <c r="AK9" s="461"/>
      <c r="AL9" s="461"/>
      <c r="AM9" s="461"/>
      <c r="AN9" s="461"/>
      <c r="AO9" s="461"/>
      <c r="AP9" s="461"/>
      <c r="AQ9" s="461"/>
      <c r="AR9" s="461"/>
      <c r="AS9" s="461"/>
      <c r="AT9" s="461"/>
      <c r="AU9" s="461"/>
      <c r="AV9" s="461"/>
      <c r="AW9" s="461"/>
      <c r="AX9" s="461"/>
      <c r="AY9" s="461"/>
      <c r="AZ9" s="461"/>
      <c r="BA9" s="461"/>
      <c r="BB9" s="461"/>
      <c r="BC9" s="461"/>
      <c r="BD9" s="461"/>
      <c r="BE9" s="461"/>
      <c r="BF9" s="461"/>
      <c r="BG9" s="461"/>
      <c r="BH9" s="461"/>
      <c r="BI9" s="461"/>
      <c r="BJ9" s="461"/>
      <c r="BK9" s="461"/>
      <c r="BL9" s="461"/>
      <c r="BM9" s="461"/>
      <c r="BN9" s="461"/>
      <c r="BO9" s="461"/>
      <c r="BP9" s="461"/>
      <c r="BQ9" s="461"/>
      <c r="BR9" s="461"/>
      <c r="BS9" s="461"/>
      <c r="BT9" s="461"/>
      <c r="BU9" s="461"/>
      <c r="BV9" s="461"/>
      <c r="BW9" s="461"/>
      <c r="BX9" s="461"/>
      <c r="BY9" s="461"/>
      <c r="BZ9" s="461"/>
      <c r="CA9" s="461"/>
      <c r="CB9" s="461">
        <v>28.040458700251467</v>
      </c>
      <c r="CC9" s="461"/>
      <c r="CD9" s="461"/>
      <c r="CE9" s="461"/>
      <c r="CF9" s="461"/>
      <c r="CG9" s="461"/>
      <c r="CH9" s="461"/>
      <c r="CI9" s="461"/>
      <c r="CJ9" s="461"/>
      <c r="CK9" s="461"/>
      <c r="CL9" s="461"/>
      <c r="CM9" s="461"/>
      <c r="CN9" s="461"/>
      <c r="CO9" s="461"/>
      <c r="CP9" s="461"/>
      <c r="CQ9" s="461"/>
      <c r="CR9" s="461"/>
      <c r="CS9" s="461"/>
      <c r="CT9" s="461"/>
      <c r="CU9" s="461"/>
      <c r="CV9" s="461"/>
      <c r="CW9" s="461"/>
      <c r="CX9" s="461"/>
      <c r="CY9" s="461"/>
      <c r="CZ9" s="461"/>
      <c r="DA9" s="461"/>
      <c r="DB9" s="461"/>
      <c r="DC9" s="461"/>
      <c r="DD9" s="461"/>
      <c r="DE9" s="461"/>
      <c r="DF9" s="461"/>
      <c r="DG9" s="461"/>
      <c r="DH9" s="461"/>
      <c r="DI9" s="461"/>
      <c r="DJ9" s="461"/>
      <c r="DK9" s="461"/>
      <c r="DL9" s="461"/>
      <c r="DM9" s="461"/>
      <c r="DN9" s="461"/>
      <c r="DO9" s="461"/>
      <c r="DP9" s="461"/>
      <c r="DQ9" s="461"/>
      <c r="DR9" s="461"/>
      <c r="DS9" s="461"/>
      <c r="DT9" s="461"/>
      <c r="DU9" s="461"/>
      <c r="DV9" s="461"/>
      <c r="DW9" s="461"/>
      <c r="DX9" s="461"/>
      <c r="DY9" s="461"/>
      <c r="DZ9" s="461"/>
      <c r="EA9" s="461"/>
      <c r="EB9" s="461"/>
      <c r="EC9" s="461"/>
      <c r="ED9" s="461"/>
      <c r="EE9" s="461"/>
      <c r="EF9" s="461"/>
      <c r="EG9" s="461"/>
      <c r="EH9" s="461"/>
      <c r="EI9" s="461"/>
      <c r="EJ9" s="461"/>
      <c r="EK9" s="461"/>
      <c r="EL9" s="461"/>
      <c r="EM9" s="461"/>
      <c r="EN9" s="461"/>
      <c r="EO9" s="461"/>
      <c r="EP9" s="461"/>
      <c r="EQ9" s="461"/>
      <c r="ER9" s="461"/>
      <c r="ES9" s="461"/>
      <c r="ET9" s="461"/>
      <c r="EU9" s="461"/>
      <c r="EV9" s="461"/>
      <c r="EW9" s="461"/>
      <c r="EX9" s="461"/>
      <c r="EY9" s="461"/>
      <c r="EZ9" s="461"/>
      <c r="FA9" s="461"/>
      <c r="FB9" s="461"/>
      <c r="FC9" s="461"/>
      <c r="FD9" s="461"/>
      <c r="FE9" s="461"/>
      <c r="FF9" s="461"/>
      <c r="FG9" s="461"/>
      <c r="FH9" s="461"/>
      <c r="FI9" s="461"/>
      <c r="FJ9" s="461"/>
      <c r="FK9" s="461"/>
      <c r="FL9" s="461"/>
      <c r="FM9" s="461"/>
      <c r="FN9" s="461"/>
      <c r="FO9" s="461"/>
      <c r="FP9" s="461"/>
      <c r="FQ9" s="461"/>
      <c r="FR9" s="461"/>
      <c r="FS9" s="461"/>
      <c r="FT9" s="461"/>
      <c r="FU9" s="461"/>
      <c r="FV9" s="461"/>
      <c r="FW9" s="461"/>
      <c r="FX9" s="461"/>
      <c r="FY9" s="461"/>
      <c r="FZ9" s="461"/>
      <c r="GA9" s="461"/>
      <c r="GB9" s="461"/>
      <c r="GC9" s="461"/>
      <c r="GD9" s="469"/>
      <c r="GE9" s="469"/>
      <c r="GF9" s="469"/>
      <c r="GG9" s="469"/>
      <c r="GH9" s="469"/>
      <c r="GI9" s="469"/>
      <c r="GJ9" s="469"/>
      <c r="GK9" s="469"/>
      <c r="GL9" s="469">
        <v>28.040458700251467</v>
      </c>
      <c r="GM9" s="458"/>
      <c r="GN9" s="469"/>
      <c r="GO9" s="469"/>
      <c r="GP9" s="468"/>
    </row>
    <row r="10" spans="1:198" x14ac:dyDescent="0.25">
      <c r="A10" s="465" t="s">
        <v>2261</v>
      </c>
      <c r="B10" s="461"/>
      <c r="C10" s="461"/>
      <c r="D10" s="461"/>
      <c r="E10" s="461"/>
      <c r="F10" s="461"/>
      <c r="G10" s="461"/>
      <c r="H10" s="461"/>
      <c r="I10" s="461"/>
      <c r="J10" s="461"/>
      <c r="K10" s="461"/>
      <c r="L10" s="461"/>
      <c r="M10" s="461"/>
      <c r="N10" s="461"/>
      <c r="O10" s="461"/>
      <c r="P10" s="461"/>
      <c r="Q10" s="461"/>
      <c r="R10" s="461"/>
      <c r="S10" s="461"/>
      <c r="T10" s="461"/>
      <c r="U10" s="461"/>
      <c r="V10" s="461"/>
      <c r="W10" s="461"/>
      <c r="X10" s="461"/>
      <c r="Y10" s="461"/>
      <c r="Z10" s="461"/>
      <c r="AA10" s="461"/>
      <c r="AB10" s="461"/>
      <c r="AC10" s="461"/>
      <c r="AD10" s="461"/>
      <c r="AE10" s="461"/>
      <c r="AF10" s="461"/>
      <c r="AG10" s="461"/>
      <c r="AH10" s="461"/>
      <c r="AI10" s="461"/>
      <c r="AJ10" s="461"/>
      <c r="AK10" s="461"/>
      <c r="AL10" s="461"/>
      <c r="AM10" s="461"/>
      <c r="AN10" s="461"/>
      <c r="AO10" s="461"/>
      <c r="AP10" s="461"/>
      <c r="AQ10" s="461"/>
      <c r="AR10" s="461"/>
      <c r="AS10" s="461"/>
      <c r="AT10" s="461"/>
      <c r="AU10" s="461"/>
      <c r="AV10" s="461"/>
      <c r="AW10" s="461"/>
      <c r="AX10" s="461"/>
      <c r="AY10" s="461"/>
      <c r="AZ10" s="461"/>
      <c r="BA10" s="461"/>
      <c r="BB10" s="461"/>
      <c r="BC10" s="461"/>
      <c r="BD10" s="461"/>
      <c r="BE10" s="461"/>
      <c r="BF10" s="461"/>
      <c r="BG10" s="461"/>
      <c r="BH10" s="461"/>
      <c r="BI10" s="461"/>
      <c r="BJ10" s="461"/>
      <c r="BK10" s="461"/>
      <c r="BL10" s="461"/>
      <c r="BM10" s="461"/>
      <c r="BN10" s="461"/>
      <c r="BO10" s="461"/>
      <c r="BP10" s="461"/>
      <c r="BQ10" s="461"/>
      <c r="BR10" s="461"/>
      <c r="BS10" s="461"/>
      <c r="BT10" s="461"/>
      <c r="BU10" s="461"/>
      <c r="BV10" s="461"/>
      <c r="BW10" s="461"/>
      <c r="BX10" s="461"/>
      <c r="BY10" s="461"/>
      <c r="BZ10" s="461"/>
      <c r="CA10" s="461"/>
      <c r="CB10" s="461"/>
      <c r="CC10" s="461">
        <v>1.7014123176392668</v>
      </c>
      <c r="CD10" s="461"/>
      <c r="CE10" s="461"/>
      <c r="CF10" s="461"/>
      <c r="CG10" s="461"/>
      <c r="CH10" s="461"/>
      <c r="CI10" s="461"/>
      <c r="CJ10" s="461"/>
      <c r="CK10" s="461"/>
      <c r="CL10" s="461"/>
      <c r="CM10" s="461"/>
      <c r="CN10" s="461"/>
      <c r="CO10" s="461"/>
      <c r="CP10" s="461"/>
      <c r="CQ10" s="461"/>
      <c r="CR10" s="461"/>
      <c r="CS10" s="461"/>
      <c r="CT10" s="461"/>
      <c r="CU10" s="461"/>
      <c r="CV10" s="461"/>
      <c r="CW10" s="461"/>
      <c r="CX10" s="461"/>
      <c r="CY10" s="461"/>
      <c r="CZ10" s="461"/>
      <c r="DA10" s="461"/>
      <c r="DB10" s="461"/>
      <c r="DC10" s="461"/>
      <c r="DD10" s="461"/>
      <c r="DE10" s="461"/>
      <c r="DF10" s="461"/>
      <c r="DG10" s="461"/>
      <c r="DH10" s="461"/>
      <c r="DI10" s="461"/>
      <c r="DJ10" s="461"/>
      <c r="DK10" s="461"/>
      <c r="DL10" s="461"/>
      <c r="DM10" s="461"/>
      <c r="DN10" s="461"/>
      <c r="DO10" s="461"/>
      <c r="DP10" s="461"/>
      <c r="DQ10" s="461"/>
      <c r="DR10" s="461"/>
      <c r="DS10" s="461"/>
      <c r="DT10" s="461"/>
      <c r="DU10" s="461"/>
      <c r="DV10" s="461"/>
      <c r="DW10" s="461"/>
      <c r="DX10" s="461"/>
      <c r="DY10" s="461"/>
      <c r="DZ10" s="461"/>
      <c r="EA10" s="461"/>
      <c r="EB10" s="461"/>
      <c r="EC10" s="461"/>
      <c r="ED10" s="461"/>
      <c r="EE10" s="461"/>
      <c r="EF10" s="461"/>
      <c r="EG10" s="461"/>
      <c r="EH10" s="461"/>
      <c r="EI10" s="461"/>
      <c r="EJ10" s="461"/>
      <c r="EK10" s="461"/>
      <c r="EL10" s="461"/>
      <c r="EM10" s="461"/>
      <c r="EN10" s="461"/>
      <c r="EO10" s="461"/>
      <c r="EP10" s="461"/>
      <c r="EQ10" s="461"/>
      <c r="ER10" s="461"/>
      <c r="ES10" s="461"/>
      <c r="ET10" s="461"/>
      <c r="EU10" s="461"/>
      <c r="EV10" s="461"/>
      <c r="EW10" s="461"/>
      <c r="EX10" s="461"/>
      <c r="EY10" s="461"/>
      <c r="EZ10" s="461"/>
      <c r="FA10" s="461"/>
      <c r="FB10" s="461"/>
      <c r="FC10" s="461"/>
      <c r="FD10" s="461"/>
      <c r="FE10" s="461"/>
      <c r="FF10" s="461"/>
      <c r="FG10" s="461"/>
      <c r="FH10" s="461"/>
      <c r="FI10" s="461"/>
      <c r="FJ10" s="461"/>
      <c r="FK10" s="461"/>
      <c r="FL10" s="461"/>
      <c r="FM10" s="461"/>
      <c r="FN10" s="461"/>
      <c r="FO10" s="461"/>
      <c r="FP10" s="461"/>
      <c r="FQ10" s="461"/>
      <c r="FR10" s="461"/>
      <c r="FS10" s="461"/>
      <c r="FT10" s="461"/>
      <c r="FU10" s="461"/>
      <c r="FV10" s="461"/>
      <c r="FW10" s="461"/>
      <c r="FX10" s="461"/>
      <c r="FY10" s="461"/>
      <c r="FZ10" s="461"/>
      <c r="GA10" s="461"/>
      <c r="GB10" s="461"/>
      <c r="GC10" s="461"/>
      <c r="GD10" s="469"/>
      <c r="GE10" s="469"/>
      <c r="GF10" s="469"/>
      <c r="GG10" s="469"/>
      <c r="GH10" s="469"/>
      <c r="GI10" s="469"/>
      <c r="GJ10" s="469"/>
      <c r="GK10" s="469"/>
      <c r="GL10" s="469">
        <v>1.7014123176392668</v>
      </c>
      <c r="GM10" s="458"/>
      <c r="GN10" s="469"/>
      <c r="GO10" s="469"/>
      <c r="GP10" s="468"/>
    </row>
    <row r="11" spans="1:198" x14ac:dyDescent="0.25">
      <c r="A11" s="465" t="s">
        <v>2262</v>
      </c>
      <c r="B11" s="461"/>
      <c r="C11" s="461"/>
      <c r="D11" s="461"/>
      <c r="E11" s="461"/>
      <c r="F11" s="461"/>
      <c r="G11" s="461"/>
      <c r="H11" s="461"/>
      <c r="I11" s="461"/>
      <c r="J11" s="461"/>
      <c r="K11" s="461"/>
      <c r="L11" s="461"/>
      <c r="M11" s="461"/>
      <c r="N11" s="461"/>
      <c r="O11" s="461"/>
      <c r="P11" s="461"/>
      <c r="Q11" s="461"/>
      <c r="R11" s="461"/>
      <c r="S11" s="461"/>
      <c r="T11" s="461"/>
      <c r="U11" s="461"/>
      <c r="V11" s="461"/>
      <c r="W11" s="461"/>
      <c r="X11" s="461"/>
      <c r="Y11" s="461"/>
      <c r="Z11" s="461"/>
      <c r="AA11" s="461"/>
      <c r="AB11" s="461"/>
      <c r="AC11" s="461"/>
      <c r="AD11" s="461"/>
      <c r="AE11" s="461"/>
      <c r="AF11" s="461"/>
      <c r="AG11" s="461"/>
      <c r="AH11" s="461"/>
      <c r="AI11" s="461"/>
      <c r="AJ11" s="461"/>
      <c r="AK11" s="461"/>
      <c r="AL11" s="461"/>
      <c r="AM11" s="461"/>
      <c r="AN11" s="461"/>
      <c r="AO11" s="461"/>
      <c r="AP11" s="461"/>
      <c r="AQ11" s="461"/>
      <c r="AR11" s="461"/>
      <c r="AS11" s="461"/>
      <c r="AT11" s="461"/>
      <c r="AU11" s="461"/>
      <c r="AV11" s="461"/>
      <c r="AW11" s="461"/>
      <c r="AX11" s="461"/>
      <c r="AY11" s="461"/>
      <c r="AZ11" s="461"/>
      <c r="BA11" s="461"/>
      <c r="BB11" s="461"/>
      <c r="BC11" s="461"/>
      <c r="BD11" s="461"/>
      <c r="BE11" s="461"/>
      <c r="BF11" s="461"/>
      <c r="BG11" s="461"/>
      <c r="BH11" s="461"/>
      <c r="BI11" s="461"/>
      <c r="BJ11" s="461"/>
      <c r="BK11" s="461"/>
      <c r="BL11" s="461"/>
      <c r="BM11" s="461"/>
      <c r="BN11" s="461"/>
      <c r="BO11" s="461"/>
      <c r="BP11" s="461"/>
      <c r="BQ11" s="461"/>
      <c r="BR11" s="461"/>
      <c r="BS11" s="461"/>
      <c r="BT11" s="461"/>
      <c r="BU11" s="461"/>
      <c r="BV11" s="461"/>
      <c r="BW11" s="461"/>
      <c r="BX11" s="461"/>
      <c r="BY11" s="461"/>
      <c r="BZ11" s="461"/>
      <c r="CA11" s="461"/>
      <c r="CB11" s="461"/>
      <c r="CC11" s="461"/>
      <c r="CD11" s="461">
        <v>16.894996537268426</v>
      </c>
      <c r="CE11" s="461"/>
      <c r="CF11" s="461"/>
      <c r="CG11" s="461"/>
      <c r="CH11" s="461"/>
      <c r="CI11" s="461"/>
      <c r="CJ11" s="461"/>
      <c r="CK11" s="461"/>
      <c r="CL11" s="461"/>
      <c r="CM11" s="461"/>
      <c r="CN11" s="461"/>
      <c r="CO11" s="461"/>
      <c r="CP11" s="461"/>
      <c r="CQ11" s="461"/>
      <c r="CR11" s="461"/>
      <c r="CS11" s="461"/>
      <c r="CT11" s="461"/>
      <c r="CU11" s="461"/>
      <c r="CV11" s="461"/>
      <c r="CW11" s="461"/>
      <c r="CX11" s="461"/>
      <c r="CY11" s="461"/>
      <c r="CZ11" s="461"/>
      <c r="DA11" s="461"/>
      <c r="DB11" s="461"/>
      <c r="DC11" s="461"/>
      <c r="DD11" s="461"/>
      <c r="DE11" s="461"/>
      <c r="DF11" s="461"/>
      <c r="DG11" s="461"/>
      <c r="DH11" s="461"/>
      <c r="DI11" s="461"/>
      <c r="DJ11" s="461"/>
      <c r="DK11" s="461"/>
      <c r="DL11" s="461"/>
      <c r="DM11" s="461"/>
      <c r="DN11" s="461"/>
      <c r="DO11" s="461"/>
      <c r="DP11" s="461"/>
      <c r="DQ11" s="461"/>
      <c r="DR11" s="461"/>
      <c r="DS11" s="461"/>
      <c r="DT11" s="461"/>
      <c r="DU11" s="461"/>
      <c r="DV11" s="461"/>
      <c r="DW11" s="461"/>
      <c r="DX11" s="461"/>
      <c r="DY11" s="461"/>
      <c r="DZ11" s="461"/>
      <c r="EA11" s="461"/>
      <c r="EB11" s="461"/>
      <c r="EC11" s="461"/>
      <c r="ED11" s="461"/>
      <c r="EE11" s="461"/>
      <c r="EF11" s="461"/>
      <c r="EG11" s="461"/>
      <c r="EH11" s="461"/>
      <c r="EI11" s="461"/>
      <c r="EJ11" s="461"/>
      <c r="EK11" s="461"/>
      <c r="EL11" s="461"/>
      <c r="EM11" s="461"/>
      <c r="EN11" s="461"/>
      <c r="EO11" s="461"/>
      <c r="EP11" s="461"/>
      <c r="EQ11" s="461"/>
      <c r="ER11" s="461"/>
      <c r="ES11" s="461"/>
      <c r="ET11" s="461"/>
      <c r="EU11" s="461"/>
      <c r="EV11" s="461"/>
      <c r="EW11" s="461"/>
      <c r="EX11" s="461"/>
      <c r="EY11" s="461"/>
      <c r="EZ11" s="461"/>
      <c r="FA11" s="461"/>
      <c r="FB11" s="461"/>
      <c r="FC11" s="461"/>
      <c r="FD11" s="461"/>
      <c r="FE11" s="461"/>
      <c r="FF11" s="461"/>
      <c r="FG11" s="461"/>
      <c r="FH11" s="461"/>
      <c r="FI11" s="461"/>
      <c r="FJ11" s="461"/>
      <c r="FK11" s="461"/>
      <c r="FL11" s="461"/>
      <c r="FM11" s="461"/>
      <c r="FN11" s="461"/>
      <c r="FO11" s="461"/>
      <c r="FP11" s="461"/>
      <c r="FQ11" s="461"/>
      <c r="FR11" s="461"/>
      <c r="FS11" s="461"/>
      <c r="FT11" s="461"/>
      <c r="FU11" s="461"/>
      <c r="FV11" s="461"/>
      <c r="FW11" s="461"/>
      <c r="FX11" s="461"/>
      <c r="FY11" s="461"/>
      <c r="FZ11" s="461"/>
      <c r="GA11" s="461"/>
      <c r="GB11" s="461"/>
      <c r="GC11" s="461"/>
      <c r="GD11" s="469"/>
      <c r="GE11" s="469"/>
      <c r="GF11" s="469"/>
      <c r="GG11" s="469"/>
      <c r="GH11" s="469"/>
      <c r="GI11" s="469"/>
      <c r="GJ11" s="469"/>
      <c r="GK11" s="469"/>
      <c r="GL11" s="469">
        <v>16.894996537268426</v>
      </c>
      <c r="GM11" s="458"/>
      <c r="GN11" s="469"/>
      <c r="GO11" s="469"/>
      <c r="GP11" s="468"/>
    </row>
    <row r="12" spans="1:198" x14ac:dyDescent="0.25">
      <c r="A12" s="465" t="s">
        <v>2263</v>
      </c>
      <c r="B12" s="461"/>
      <c r="C12" s="461"/>
      <c r="D12" s="461"/>
      <c r="E12" s="461"/>
      <c r="F12" s="461"/>
      <c r="G12" s="461"/>
      <c r="H12" s="461"/>
      <c r="I12" s="461"/>
      <c r="J12" s="461"/>
      <c r="K12" s="461"/>
      <c r="L12" s="461"/>
      <c r="M12" s="461"/>
      <c r="N12" s="461"/>
      <c r="O12" s="461"/>
      <c r="P12" s="461"/>
      <c r="Q12" s="461"/>
      <c r="R12" s="461"/>
      <c r="S12" s="461"/>
      <c r="T12" s="461"/>
      <c r="U12" s="461"/>
      <c r="V12" s="461"/>
      <c r="W12" s="461"/>
      <c r="X12" s="461"/>
      <c r="Y12" s="461"/>
      <c r="Z12" s="461"/>
      <c r="AA12" s="461"/>
      <c r="AB12" s="461"/>
      <c r="AC12" s="461"/>
      <c r="AD12" s="461"/>
      <c r="AE12" s="461"/>
      <c r="AF12" s="461"/>
      <c r="AG12" s="461"/>
      <c r="AH12" s="461"/>
      <c r="AI12" s="461"/>
      <c r="AJ12" s="461"/>
      <c r="AK12" s="461"/>
      <c r="AL12" s="461"/>
      <c r="AM12" s="461"/>
      <c r="AN12" s="461"/>
      <c r="AO12" s="461"/>
      <c r="AP12" s="461"/>
      <c r="AQ12" s="461"/>
      <c r="AR12" s="461"/>
      <c r="AS12" s="461"/>
      <c r="AT12" s="461"/>
      <c r="AU12" s="461"/>
      <c r="AV12" s="461"/>
      <c r="AW12" s="461"/>
      <c r="AX12" s="461"/>
      <c r="AY12" s="461"/>
      <c r="AZ12" s="461"/>
      <c r="BA12" s="461"/>
      <c r="BB12" s="461"/>
      <c r="BC12" s="461"/>
      <c r="BD12" s="461"/>
      <c r="BE12" s="461"/>
      <c r="BF12" s="461"/>
      <c r="BG12" s="461"/>
      <c r="BH12" s="461"/>
      <c r="BI12" s="461"/>
      <c r="BJ12" s="461"/>
      <c r="BK12" s="461"/>
      <c r="BL12" s="461"/>
      <c r="BM12" s="461"/>
      <c r="BN12" s="461"/>
      <c r="BO12" s="461"/>
      <c r="BP12" s="461"/>
      <c r="BQ12" s="461"/>
      <c r="BR12" s="461"/>
      <c r="BS12" s="461"/>
      <c r="BT12" s="461"/>
      <c r="BU12" s="461"/>
      <c r="BV12" s="461"/>
      <c r="BW12" s="461"/>
      <c r="BX12" s="461"/>
      <c r="BY12" s="461"/>
      <c r="BZ12" s="461"/>
      <c r="CA12" s="461"/>
      <c r="CB12" s="461"/>
      <c r="CC12" s="461"/>
      <c r="CD12" s="461"/>
      <c r="CE12" s="461">
        <v>38.392675209884473</v>
      </c>
      <c r="CF12" s="461"/>
      <c r="CG12" s="461"/>
      <c r="CH12" s="461"/>
      <c r="CI12" s="461"/>
      <c r="CJ12" s="461"/>
      <c r="CK12" s="461"/>
      <c r="CL12" s="461"/>
      <c r="CM12" s="461"/>
      <c r="CN12" s="461"/>
      <c r="CO12" s="461"/>
      <c r="CP12" s="461"/>
      <c r="CQ12" s="461"/>
      <c r="CR12" s="461"/>
      <c r="CS12" s="461"/>
      <c r="CT12" s="461"/>
      <c r="CU12" s="461"/>
      <c r="CV12" s="461"/>
      <c r="CW12" s="461"/>
      <c r="CX12" s="461"/>
      <c r="CY12" s="461"/>
      <c r="CZ12" s="461"/>
      <c r="DA12" s="461"/>
      <c r="DB12" s="461"/>
      <c r="DC12" s="461"/>
      <c r="DD12" s="461"/>
      <c r="DE12" s="461"/>
      <c r="DF12" s="461"/>
      <c r="DG12" s="461"/>
      <c r="DH12" s="461"/>
      <c r="DI12" s="461"/>
      <c r="DJ12" s="461"/>
      <c r="DK12" s="461"/>
      <c r="DL12" s="461"/>
      <c r="DM12" s="461"/>
      <c r="DN12" s="461"/>
      <c r="DO12" s="461"/>
      <c r="DP12" s="461"/>
      <c r="DQ12" s="461"/>
      <c r="DR12" s="461"/>
      <c r="DS12" s="461"/>
      <c r="DT12" s="461"/>
      <c r="DU12" s="461"/>
      <c r="DV12" s="461"/>
      <c r="DW12" s="461"/>
      <c r="DX12" s="461"/>
      <c r="DY12" s="461"/>
      <c r="DZ12" s="461"/>
      <c r="EA12" s="461"/>
      <c r="EB12" s="461"/>
      <c r="EC12" s="461"/>
      <c r="ED12" s="461"/>
      <c r="EE12" s="461"/>
      <c r="EF12" s="461"/>
      <c r="EG12" s="461"/>
      <c r="EH12" s="461"/>
      <c r="EI12" s="461"/>
      <c r="EJ12" s="461"/>
      <c r="EK12" s="461"/>
      <c r="EL12" s="461"/>
      <c r="EM12" s="461"/>
      <c r="EN12" s="461"/>
      <c r="EO12" s="461"/>
      <c r="EP12" s="461"/>
      <c r="EQ12" s="461"/>
      <c r="ER12" s="461"/>
      <c r="ES12" s="461"/>
      <c r="ET12" s="461"/>
      <c r="EU12" s="461"/>
      <c r="EV12" s="461"/>
      <c r="EW12" s="461"/>
      <c r="EX12" s="461"/>
      <c r="EY12" s="461"/>
      <c r="EZ12" s="461"/>
      <c r="FA12" s="461"/>
      <c r="FB12" s="461"/>
      <c r="FC12" s="461"/>
      <c r="FD12" s="461"/>
      <c r="FE12" s="461"/>
      <c r="FF12" s="461"/>
      <c r="FG12" s="461"/>
      <c r="FH12" s="461"/>
      <c r="FI12" s="461"/>
      <c r="FJ12" s="461"/>
      <c r="FK12" s="461"/>
      <c r="FL12" s="461"/>
      <c r="FM12" s="461"/>
      <c r="FN12" s="461"/>
      <c r="FO12" s="461"/>
      <c r="FP12" s="461"/>
      <c r="FQ12" s="461"/>
      <c r="FR12" s="461"/>
      <c r="FS12" s="461"/>
      <c r="FT12" s="461"/>
      <c r="FU12" s="461"/>
      <c r="FV12" s="461"/>
      <c r="FW12" s="461"/>
      <c r="FX12" s="461"/>
      <c r="FY12" s="461"/>
      <c r="FZ12" s="461"/>
      <c r="GA12" s="461"/>
      <c r="GB12" s="461"/>
      <c r="GC12" s="461"/>
      <c r="GD12" s="469"/>
      <c r="GE12" s="469"/>
      <c r="GF12" s="469"/>
      <c r="GG12" s="469"/>
      <c r="GH12" s="469"/>
      <c r="GI12" s="469"/>
      <c r="GJ12" s="469"/>
      <c r="GK12" s="469"/>
      <c r="GL12" s="469">
        <v>38.392675209884473</v>
      </c>
      <c r="GM12" s="458"/>
      <c r="GN12" s="469"/>
      <c r="GO12" s="469"/>
      <c r="GP12" s="468"/>
    </row>
    <row r="13" spans="1:198" x14ac:dyDescent="0.25">
      <c r="A13" s="465" t="s">
        <v>2264</v>
      </c>
      <c r="B13" s="461"/>
      <c r="C13" s="461"/>
      <c r="D13" s="461"/>
      <c r="E13" s="461"/>
      <c r="F13" s="461"/>
      <c r="G13" s="461"/>
      <c r="H13" s="461"/>
      <c r="I13" s="461"/>
      <c r="J13" s="461"/>
      <c r="K13" s="461"/>
      <c r="L13" s="461"/>
      <c r="M13" s="461"/>
      <c r="N13" s="461"/>
      <c r="O13" s="461"/>
      <c r="P13" s="461"/>
      <c r="Q13" s="461"/>
      <c r="R13" s="461"/>
      <c r="S13" s="461"/>
      <c r="T13" s="461"/>
      <c r="U13" s="461"/>
      <c r="V13" s="461"/>
      <c r="W13" s="461"/>
      <c r="X13" s="461"/>
      <c r="Y13" s="461"/>
      <c r="Z13" s="461"/>
      <c r="AA13" s="461"/>
      <c r="AB13" s="461"/>
      <c r="AC13" s="461"/>
      <c r="AD13" s="461"/>
      <c r="AE13" s="461"/>
      <c r="AF13" s="461"/>
      <c r="AG13" s="461"/>
      <c r="AH13" s="461"/>
      <c r="AI13" s="461"/>
      <c r="AJ13" s="461"/>
      <c r="AK13" s="461"/>
      <c r="AL13" s="461"/>
      <c r="AM13" s="461"/>
      <c r="AN13" s="461"/>
      <c r="AO13" s="461"/>
      <c r="AP13" s="461"/>
      <c r="AQ13" s="461"/>
      <c r="AR13" s="461"/>
      <c r="AS13" s="461"/>
      <c r="AT13" s="461"/>
      <c r="AU13" s="461"/>
      <c r="AV13" s="461"/>
      <c r="AW13" s="461"/>
      <c r="AX13" s="461"/>
      <c r="AY13" s="461"/>
      <c r="AZ13" s="461"/>
      <c r="BA13" s="461"/>
      <c r="BB13" s="461"/>
      <c r="BC13" s="461"/>
      <c r="BD13" s="461"/>
      <c r="BE13" s="461"/>
      <c r="BF13" s="461"/>
      <c r="BG13" s="461"/>
      <c r="BH13" s="461"/>
      <c r="BI13" s="461"/>
      <c r="BJ13" s="461"/>
      <c r="BK13" s="461"/>
      <c r="BL13" s="461"/>
      <c r="BM13" s="461"/>
      <c r="BN13" s="461"/>
      <c r="BO13" s="461"/>
      <c r="BP13" s="461"/>
      <c r="BQ13" s="461"/>
      <c r="BR13" s="461"/>
      <c r="BS13" s="461"/>
      <c r="BT13" s="461"/>
      <c r="BU13" s="461"/>
      <c r="BV13" s="461"/>
      <c r="BW13" s="461"/>
      <c r="BX13" s="461"/>
      <c r="BY13" s="461"/>
      <c r="BZ13" s="461"/>
      <c r="CA13" s="461"/>
      <c r="CB13" s="461"/>
      <c r="CC13" s="461"/>
      <c r="CD13" s="461"/>
      <c r="CE13" s="461"/>
      <c r="CF13" s="461">
        <v>14.125940272548263</v>
      </c>
      <c r="CG13" s="461"/>
      <c r="CH13" s="461"/>
      <c r="CI13" s="461"/>
      <c r="CJ13" s="461"/>
      <c r="CK13" s="461"/>
      <c r="CL13" s="461"/>
      <c r="CM13" s="461"/>
      <c r="CN13" s="461"/>
      <c r="CO13" s="461"/>
      <c r="CP13" s="461"/>
      <c r="CQ13" s="461"/>
      <c r="CR13" s="461"/>
      <c r="CS13" s="461"/>
      <c r="CT13" s="461"/>
      <c r="CU13" s="461"/>
      <c r="CV13" s="461"/>
      <c r="CW13" s="461"/>
      <c r="CX13" s="461"/>
      <c r="CY13" s="461"/>
      <c r="CZ13" s="461"/>
      <c r="DA13" s="461"/>
      <c r="DB13" s="461"/>
      <c r="DC13" s="461"/>
      <c r="DD13" s="461"/>
      <c r="DE13" s="461"/>
      <c r="DF13" s="461"/>
      <c r="DG13" s="461"/>
      <c r="DH13" s="461"/>
      <c r="DI13" s="461"/>
      <c r="DJ13" s="461"/>
      <c r="DK13" s="461"/>
      <c r="DL13" s="461"/>
      <c r="DM13" s="461"/>
      <c r="DN13" s="461"/>
      <c r="DO13" s="461"/>
      <c r="DP13" s="461"/>
      <c r="DQ13" s="461"/>
      <c r="DR13" s="461"/>
      <c r="DS13" s="461"/>
      <c r="DT13" s="461"/>
      <c r="DU13" s="461"/>
      <c r="DV13" s="461"/>
      <c r="DW13" s="461"/>
      <c r="DX13" s="461"/>
      <c r="DY13" s="461"/>
      <c r="DZ13" s="461"/>
      <c r="EA13" s="461"/>
      <c r="EB13" s="461"/>
      <c r="EC13" s="461"/>
      <c r="ED13" s="461"/>
      <c r="EE13" s="461"/>
      <c r="EF13" s="461"/>
      <c r="EG13" s="461"/>
      <c r="EH13" s="461"/>
      <c r="EI13" s="461"/>
      <c r="EJ13" s="461"/>
      <c r="EK13" s="461"/>
      <c r="EL13" s="461"/>
      <c r="EM13" s="461"/>
      <c r="EN13" s="461"/>
      <c r="EO13" s="461"/>
      <c r="EP13" s="461"/>
      <c r="EQ13" s="461"/>
      <c r="ER13" s="461"/>
      <c r="ES13" s="461"/>
      <c r="ET13" s="461"/>
      <c r="EU13" s="461"/>
      <c r="EV13" s="461"/>
      <c r="EW13" s="461"/>
      <c r="EX13" s="461"/>
      <c r="EY13" s="461"/>
      <c r="EZ13" s="461"/>
      <c r="FA13" s="461"/>
      <c r="FB13" s="461"/>
      <c r="FC13" s="461"/>
      <c r="FD13" s="461"/>
      <c r="FE13" s="461"/>
      <c r="FF13" s="461"/>
      <c r="FG13" s="461"/>
      <c r="FH13" s="461"/>
      <c r="FI13" s="461"/>
      <c r="FJ13" s="461"/>
      <c r="FK13" s="461"/>
      <c r="FL13" s="461"/>
      <c r="FM13" s="461"/>
      <c r="FN13" s="461"/>
      <c r="FO13" s="461"/>
      <c r="FP13" s="461"/>
      <c r="FQ13" s="461"/>
      <c r="FR13" s="461"/>
      <c r="FS13" s="461"/>
      <c r="FT13" s="461"/>
      <c r="FU13" s="461"/>
      <c r="FV13" s="461"/>
      <c r="FW13" s="461"/>
      <c r="FX13" s="461"/>
      <c r="FY13" s="461"/>
      <c r="FZ13" s="461"/>
      <c r="GA13" s="461"/>
      <c r="GB13" s="461"/>
      <c r="GC13" s="461"/>
      <c r="GD13" s="469"/>
      <c r="GE13" s="469"/>
      <c r="GF13" s="469"/>
      <c r="GG13" s="469"/>
      <c r="GH13" s="469"/>
      <c r="GI13" s="469"/>
      <c r="GJ13" s="469"/>
      <c r="GK13" s="469"/>
      <c r="GL13" s="469">
        <v>14.125940272548263</v>
      </c>
      <c r="GM13" s="458"/>
      <c r="GN13" s="469"/>
      <c r="GO13" s="469"/>
      <c r="GP13" s="468"/>
    </row>
    <row r="14" spans="1:198" x14ac:dyDescent="0.25">
      <c r="A14" s="465" t="s">
        <v>2265</v>
      </c>
      <c r="B14" s="461"/>
      <c r="C14" s="461"/>
      <c r="D14" s="461"/>
      <c r="E14" s="461"/>
      <c r="F14" s="461"/>
      <c r="G14" s="461"/>
      <c r="H14" s="461"/>
      <c r="I14" s="461"/>
      <c r="J14" s="461"/>
      <c r="K14" s="461"/>
      <c r="L14" s="461"/>
      <c r="M14" s="461"/>
      <c r="N14" s="461"/>
      <c r="O14" s="461"/>
      <c r="P14" s="461"/>
      <c r="Q14" s="461"/>
      <c r="R14" s="461"/>
      <c r="S14" s="461"/>
      <c r="T14" s="461"/>
      <c r="U14" s="461"/>
      <c r="V14" s="461"/>
      <c r="W14" s="461"/>
      <c r="X14" s="461"/>
      <c r="Y14" s="461"/>
      <c r="Z14" s="461"/>
      <c r="AA14" s="461"/>
      <c r="AB14" s="461"/>
      <c r="AC14" s="461"/>
      <c r="AD14" s="461"/>
      <c r="AE14" s="461"/>
      <c r="AF14" s="461"/>
      <c r="AG14" s="461"/>
      <c r="AH14" s="461"/>
      <c r="AI14" s="461"/>
      <c r="AJ14" s="461"/>
      <c r="AK14" s="461"/>
      <c r="AL14" s="461"/>
      <c r="AM14" s="461"/>
      <c r="AN14" s="461"/>
      <c r="AO14" s="461"/>
      <c r="AP14" s="461"/>
      <c r="AQ14" s="461"/>
      <c r="AR14" s="461"/>
      <c r="AS14" s="461"/>
      <c r="AT14" s="461"/>
      <c r="AU14" s="461"/>
      <c r="AV14" s="461"/>
      <c r="AW14" s="461"/>
      <c r="AX14" s="461"/>
      <c r="AY14" s="461"/>
      <c r="AZ14" s="461"/>
      <c r="BA14" s="461"/>
      <c r="BB14" s="461"/>
      <c r="BC14" s="461"/>
      <c r="BD14" s="461"/>
      <c r="BE14" s="461"/>
      <c r="BF14" s="461"/>
      <c r="BG14" s="461"/>
      <c r="BH14" s="461"/>
      <c r="BI14" s="461"/>
      <c r="BJ14" s="461"/>
      <c r="BK14" s="461"/>
      <c r="BL14" s="461"/>
      <c r="BM14" s="461"/>
      <c r="BN14" s="461"/>
      <c r="BO14" s="461"/>
      <c r="BP14" s="461"/>
      <c r="BQ14" s="461"/>
      <c r="BR14" s="461"/>
      <c r="BS14" s="461"/>
      <c r="BT14" s="461"/>
      <c r="BU14" s="461"/>
      <c r="BV14" s="461"/>
      <c r="BW14" s="461"/>
      <c r="BX14" s="461"/>
      <c r="BY14" s="461"/>
      <c r="BZ14" s="461"/>
      <c r="CA14" s="461"/>
      <c r="CB14" s="461"/>
      <c r="CC14" s="461"/>
      <c r="CD14" s="461"/>
      <c r="CE14" s="461"/>
      <c r="CF14" s="461"/>
      <c r="CG14" s="461">
        <v>11.725351132869271</v>
      </c>
      <c r="CH14" s="461"/>
      <c r="CI14" s="461"/>
      <c r="CJ14" s="461"/>
      <c r="CK14" s="461"/>
      <c r="CL14" s="461"/>
      <c r="CM14" s="461"/>
      <c r="CN14" s="461"/>
      <c r="CO14" s="461"/>
      <c r="CP14" s="461"/>
      <c r="CQ14" s="461"/>
      <c r="CR14" s="461"/>
      <c r="CS14" s="461"/>
      <c r="CT14" s="461"/>
      <c r="CU14" s="461"/>
      <c r="CV14" s="461"/>
      <c r="CW14" s="461"/>
      <c r="CX14" s="461"/>
      <c r="CY14" s="461"/>
      <c r="CZ14" s="461"/>
      <c r="DA14" s="461"/>
      <c r="DB14" s="461"/>
      <c r="DC14" s="461"/>
      <c r="DD14" s="461"/>
      <c r="DE14" s="461"/>
      <c r="DF14" s="461"/>
      <c r="DG14" s="461"/>
      <c r="DH14" s="461"/>
      <c r="DI14" s="461"/>
      <c r="DJ14" s="461"/>
      <c r="DK14" s="461"/>
      <c r="DL14" s="461"/>
      <c r="DM14" s="461"/>
      <c r="DN14" s="461"/>
      <c r="DO14" s="461"/>
      <c r="DP14" s="461"/>
      <c r="DQ14" s="461"/>
      <c r="DR14" s="461"/>
      <c r="DS14" s="461"/>
      <c r="DT14" s="461"/>
      <c r="DU14" s="461"/>
      <c r="DV14" s="461"/>
      <c r="DW14" s="461"/>
      <c r="DX14" s="461"/>
      <c r="DY14" s="461"/>
      <c r="DZ14" s="461"/>
      <c r="EA14" s="461"/>
      <c r="EB14" s="461"/>
      <c r="EC14" s="461"/>
      <c r="ED14" s="461"/>
      <c r="EE14" s="461"/>
      <c r="EF14" s="461"/>
      <c r="EG14" s="461"/>
      <c r="EH14" s="461"/>
      <c r="EI14" s="461"/>
      <c r="EJ14" s="461"/>
      <c r="EK14" s="461"/>
      <c r="EL14" s="461"/>
      <c r="EM14" s="461"/>
      <c r="EN14" s="461"/>
      <c r="EO14" s="461"/>
      <c r="EP14" s="461"/>
      <c r="EQ14" s="461"/>
      <c r="ER14" s="461"/>
      <c r="ES14" s="461"/>
      <c r="ET14" s="461"/>
      <c r="EU14" s="461"/>
      <c r="EV14" s="461"/>
      <c r="EW14" s="461"/>
      <c r="EX14" s="461"/>
      <c r="EY14" s="461"/>
      <c r="EZ14" s="461"/>
      <c r="FA14" s="461"/>
      <c r="FB14" s="461"/>
      <c r="FC14" s="461"/>
      <c r="FD14" s="461"/>
      <c r="FE14" s="461"/>
      <c r="FF14" s="461"/>
      <c r="FG14" s="461"/>
      <c r="FH14" s="461"/>
      <c r="FI14" s="461"/>
      <c r="FJ14" s="461"/>
      <c r="FK14" s="461"/>
      <c r="FL14" s="461"/>
      <c r="FM14" s="461"/>
      <c r="FN14" s="461"/>
      <c r="FO14" s="461"/>
      <c r="FP14" s="461"/>
      <c r="FQ14" s="461"/>
      <c r="FR14" s="461"/>
      <c r="FS14" s="461"/>
      <c r="FT14" s="461"/>
      <c r="FU14" s="461"/>
      <c r="FV14" s="461"/>
      <c r="FW14" s="461"/>
      <c r="FX14" s="461"/>
      <c r="FY14" s="461"/>
      <c r="FZ14" s="461"/>
      <c r="GA14" s="461"/>
      <c r="GB14" s="461"/>
      <c r="GC14" s="461"/>
      <c r="GD14" s="469"/>
      <c r="GE14" s="469"/>
      <c r="GF14" s="469"/>
      <c r="GG14" s="469"/>
      <c r="GH14" s="469"/>
      <c r="GI14" s="469"/>
      <c r="GJ14" s="469"/>
      <c r="GK14" s="469"/>
      <c r="GL14" s="469">
        <v>11.725351132869271</v>
      </c>
      <c r="GM14" s="458"/>
      <c r="GN14" s="469"/>
      <c r="GO14" s="469"/>
      <c r="GP14" s="468"/>
    </row>
    <row r="15" spans="1:198" x14ac:dyDescent="0.25">
      <c r="A15" s="465" t="s">
        <v>2266</v>
      </c>
      <c r="B15" s="461"/>
      <c r="C15" s="461"/>
      <c r="D15" s="461"/>
      <c r="E15" s="461"/>
      <c r="F15" s="461"/>
      <c r="G15" s="461"/>
      <c r="H15" s="461"/>
      <c r="I15" s="461"/>
      <c r="J15" s="461"/>
      <c r="K15" s="461"/>
      <c r="L15" s="461"/>
      <c r="M15" s="461"/>
      <c r="N15" s="461"/>
      <c r="O15" s="461"/>
      <c r="P15" s="461"/>
      <c r="Q15" s="461"/>
      <c r="R15" s="461"/>
      <c r="S15" s="461"/>
      <c r="T15" s="461"/>
      <c r="U15" s="461"/>
      <c r="V15" s="461"/>
      <c r="W15" s="461"/>
      <c r="X15" s="461"/>
      <c r="Y15" s="461"/>
      <c r="Z15" s="461"/>
      <c r="AA15" s="461"/>
      <c r="AB15" s="461"/>
      <c r="AC15" s="461"/>
      <c r="AD15" s="461"/>
      <c r="AE15" s="461"/>
      <c r="AF15" s="461"/>
      <c r="AG15" s="461"/>
      <c r="AH15" s="461"/>
      <c r="AI15" s="461"/>
      <c r="AJ15" s="461"/>
      <c r="AK15" s="461"/>
      <c r="AL15" s="461"/>
      <c r="AM15" s="461"/>
      <c r="AN15" s="461"/>
      <c r="AO15" s="461"/>
      <c r="AP15" s="461"/>
      <c r="AQ15" s="461"/>
      <c r="AR15" s="461"/>
      <c r="AS15" s="461"/>
      <c r="AT15" s="461"/>
      <c r="AU15" s="461"/>
      <c r="AV15" s="461"/>
      <c r="AW15" s="461"/>
      <c r="AX15" s="461"/>
      <c r="AY15" s="461"/>
      <c r="AZ15" s="461"/>
      <c r="BA15" s="461"/>
      <c r="BB15" s="461"/>
      <c r="BC15" s="461"/>
      <c r="BD15" s="461"/>
      <c r="BE15" s="461"/>
      <c r="BF15" s="461"/>
      <c r="BG15" s="461"/>
      <c r="BH15" s="461"/>
      <c r="BI15" s="461"/>
      <c r="BJ15" s="461"/>
      <c r="BK15" s="461"/>
      <c r="BL15" s="461"/>
      <c r="BM15" s="461"/>
      <c r="BN15" s="461"/>
      <c r="BO15" s="461"/>
      <c r="BP15" s="461"/>
      <c r="BQ15" s="461"/>
      <c r="BR15" s="461"/>
      <c r="BS15" s="461"/>
      <c r="BT15" s="461"/>
      <c r="BU15" s="461"/>
      <c r="BV15" s="461"/>
      <c r="BW15" s="461"/>
      <c r="BX15" s="461"/>
      <c r="BY15" s="461"/>
      <c r="BZ15" s="461"/>
      <c r="CA15" s="461"/>
      <c r="CB15" s="461"/>
      <c r="CC15" s="461"/>
      <c r="CD15" s="461"/>
      <c r="CE15" s="461"/>
      <c r="CF15" s="461"/>
      <c r="CG15" s="461"/>
      <c r="CH15" s="461">
        <v>9.1927488958814703</v>
      </c>
      <c r="CI15" s="461"/>
      <c r="CJ15" s="461"/>
      <c r="CK15" s="461"/>
      <c r="CL15" s="461"/>
      <c r="CM15" s="461"/>
      <c r="CN15" s="461"/>
      <c r="CO15" s="461"/>
      <c r="CP15" s="461"/>
      <c r="CQ15" s="461"/>
      <c r="CR15" s="461"/>
      <c r="CS15" s="461"/>
      <c r="CT15" s="461"/>
      <c r="CU15" s="461"/>
      <c r="CV15" s="461"/>
      <c r="CW15" s="461"/>
      <c r="CX15" s="461"/>
      <c r="CY15" s="461"/>
      <c r="CZ15" s="461"/>
      <c r="DA15" s="461"/>
      <c r="DB15" s="461"/>
      <c r="DC15" s="461"/>
      <c r="DD15" s="461"/>
      <c r="DE15" s="461"/>
      <c r="DF15" s="461"/>
      <c r="DG15" s="461"/>
      <c r="DH15" s="461"/>
      <c r="DI15" s="461"/>
      <c r="DJ15" s="461"/>
      <c r="DK15" s="461"/>
      <c r="DL15" s="461"/>
      <c r="DM15" s="461"/>
      <c r="DN15" s="461"/>
      <c r="DO15" s="461"/>
      <c r="DP15" s="461"/>
      <c r="DQ15" s="461"/>
      <c r="DR15" s="461"/>
      <c r="DS15" s="461"/>
      <c r="DT15" s="461"/>
      <c r="DU15" s="461"/>
      <c r="DV15" s="461"/>
      <c r="DW15" s="461"/>
      <c r="DX15" s="461"/>
      <c r="DY15" s="461"/>
      <c r="DZ15" s="461"/>
      <c r="EA15" s="461"/>
      <c r="EB15" s="461"/>
      <c r="EC15" s="461"/>
      <c r="ED15" s="461"/>
      <c r="EE15" s="461"/>
      <c r="EF15" s="461"/>
      <c r="EG15" s="461"/>
      <c r="EH15" s="461"/>
      <c r="EI15" s="461"/>
      <c r="EJ15" s="461"/>
      <c r="EK15" s="461"/>
      <c r="EL15" s="461"/>
      <c r="EM15" s="461"/>
      <c r="EN15" s="461"/>
      <c r="EO15" s="461"/>
      <c r="EP15" s="461"/>
      <c r="EQ15" s="461"/>
      <c r="ER15" s="461"/>
      <c r="ES15" s="461"/>
      <c r="ET15" s="461"/>
      <c r="EU15" s="461"/>
      <c r="EV15" s="461"/>
      <c r="EW15" s="461"/>
      <c r="EX15" s="461"/>
      <c r="EY15" s="461"/>
      <c r="EZ15" s="461"/>
      <c r="FA15" s="461"/>
      <c r="FB15" s="461"/>
      <c r="FC15" s="461"/>
      <c r="FD15" s="461"/>
      <c r="FE15" s="461"/>
      <c r="FF15" s="461"/>
      <c r="FG15" s="461"/>
      <c r="FH15" s="461"/>
      <c r="FI15" s="461"/>
      <c r="FJ15" s="461"/>
      <c r="FK15" s="461"/>
      <c r="FL15" s="461"/>
      <c r="FM15" s="461"/>
      <c r="FN15" s="461"/>
      <c r="FO15" s="461"/>
      <c r="FP15" s="461"/>
      <c r="FQ15" s="461"/>
      <c r="FR15" s="461"/>
      <c r="FS15" s="461"/>
      <c r="FT15" s="461"/>
      <c r="FU15" s="461"/>
      <c r="FV15" s="461"/>
      <c r="FW15" s="461"/>
      <c r="FX15" s="461"/>
      <c r="FY15" s="461"/>
      <c r="FZ15" s="461"/>
      <c r="GA15" s="461"/>
      <c r="GB15" s="461"/>
      <c r="GC15" s="461"/>
      <c r="GD15" s="469"/>
      <c r="GE15" s="469"/>
      <c r="GF15" s="469"/>
      <c r="GG15" s="469"/>
      <c r="GH15" s="469"/>
      <c r="GI15" s="469"/>
      <c r="GJ15" s="469"/>
      <c r="GK15" s="469"/>
      <c r="GL15" s="469">
        <v>9.1927488958814703</v>
      </c>
      <c r="GM15" s="458"/>
      <c r="GN15" s="469"/>
      <c r="GO15" s="469"/>
      <c r="GP15" s="468"/>
    </row>
    <row r="16" spans="1:198" x14ac:dyDescent="0.25">
      <c r="A16" s="465" t="s">
        <v>2267</v>
      </c>
      <c r="B16" s="461"/>
      <c r="C16" s="461"/>
      <c r="D16" s="461"/>
      <c r="E16" s="461"/>
      <c r="F16" s="461"/>
      <c r="G16" s="461"/>
      <c r="H16" s="461"/>
      <c r="I16" s="461"/>
      <c r="J16" s="461"/>
      <c r="K16" s="461"/>
      <c r="L16" s="461"/>
      <c r="M16" s="461"/>
      <c r="N16" s="461"/>
      <c r="O16" s="461"/>
      <c r="P16" s="461"/>
      <c r="Q16" s="461"/>
      <c r="R16" s="461"/>
      <c r="S16" s="461"/>
      <c r="T16" s="461"/>
      <c r="U16" s="461"/>
      <c r="V16" s="461"/>
      <c r="W16" s="461"/>
      <c r="X16" s="461"/>
      <c r="Y16" s="461"/>
      <c r="Z16" s="461"/>
      <c r="AA16" s="461"/>
      <c r="AB16" s="461"/>
      <c r="AC16" s="461"/>
      <c r="AD16" s="461"/>
      <c r="AE16" s="461"/>
      <c r="AF16" s="461"/>
      <c r="AG16" s="461"/>
      <c r="AH16" s="461"/>
      <c r="AI16" s="461"/>
      <c r="AJ16" s="461"/>
      <c r="AK16" s="461"/>
      <c r="AL16" s="461"/>
      <c r="AM16" s="461"/>
      <c r="AN16" s="461"/>
      <c r="AO16" s="461"/>
      <c r="AP16" s="461"/>
      <c r="AQ16" s="461"/>
      <c r="AR16" s="461"/>
      <c r="AS16" s="461"/>
      <c r="AT16" s="461"/>
      <c r="AU16" s="461"/>
      <c r="AV16" s="461"/>
      <c r="AW16" s="461"/>
      <c r="AX16" s="461"/>
      <c r="AY16" s="461"/>
      <c r="AZ16" s="461"/>
      <c r="BA16" s="461"/>
      <c r="BB16" s="461"/>
      <c r="BC16" s="461"/>
      <c r="BD16" s="461"/>
      <c r="BE16" s="461"/>
      <c r="BF16" s="461"/>
      <c r="BG16" s="461"/>
      <c r="BH16" s="461"/>
      <c r="BI16" s="461"/>
      <c r="BJ16" s="461"/>
      <c r="BK16" s="461"/>
      <c r="BL16" s="461"/>
      <c r="BM16" s="461"/>
      <c r="BN16" s="461"/>
      <c r="BO16" s="461"/>
      <c r="BP16" s="461"/>
      <c r="BQ16" s="461"/>
      <c r="BR16" s="461"/>
      <c r="BS16" s="461"/>
      <c r="BT16" s="461"/>
      <c r="BU16" s="461"/>
      <c r="BV16" s="461"/>
      <c r="BW16" s="461"/>
      <c r="BX16" s="461"/>
      <c r="BY16" s="461"/>
      <c r="BZ16" s="461"/>
      <c r="CA16" s="461"/>
      <c r="CB16" s="461"/>
      <c r="CC16" s="461"/>
      <c r="CD16" s="461"/>
      <c r="CE16" s="461"/>
      <c r="CF16" s="461"/>
      <c r="CG16" s="461"/>
      <c r="CH16" s="461"/>
      <c r="CI16" s="461">
        <v>1.5010727062374021</v>
      </c>
      <c r="CJ16" s="461"/>
      <c r="CK16" s="461"/>
      <c r="CL16" s="461"/>
      <c r="CM16" s="461"/>
      <c r="CN16" s="461"/>
      <c r="CO16" s="461"/>
      <c r="CP16" s="461"/>
      <c r="CQ16" s="461"/>
      <c r="CR16" s="461"/>
      <c r="CS16" s="461"/>
      <c r="CT16" s="461"/>
      <c r="CU16" s="461"/>
      <c r="CV16" s="461"/>
      <c r="CW16" s="461"/>
      <c r="CX16" s="461"/>
      <c r="CY16" s="461"/>
      <c r="CZ16" s="461"/>
      <c r="DA16" s="461"/>
      <c r="DB16" s="461"/>
      <c r="DC16" s="461"/>
      <c r="DD16" s="461"/>
      <c r="DE16" s="461"/>
      <c r="DF16" s="461"/>
      <c r="DG16" s="461"/>
      <c r="DH16" s="461"/>
      <c r="DI16" s="461"/>
      <c r="DJ16" s="461"/>
      <c r="DK16" s="461"/>
      <c r="DL16" s="461"/>
      <c r="DM16" s="461"/>
      <c r="DN16" s="461"/>
      <c r="DO16" s="461"/>
      <c r="DP16" s="461"/>
      <c r="DQ16" s="461"/>
      <c r="DR16" s="461"/>
      <c r="DS16" s="461"/>
      <c r="DT16" s="461"/>
      <c r="DU16" s="461"/>
      <c r="DV16" s="461"/>
      <c r="DW16" s="461"/>
      <c r="DX16" s="461"/>
      <c r="DY16" s="461"/>
      <c r="DZ16" s="461"/>
      <c r="EA16" s="461"/>
      <c r="EB16" s="461"/>
      <c r="EC16" s="461"/>
      <c r="ED16" s="461"/>
      <c r="EE16" s="461"/>
      <c r="EF16" s="461"/>
      <c r="EG16" s="461"/>
      <c r="EH16" s="461"/>
      <c r="EI16" s="461"/>
      <c r="EJ16" s="461"/>
      <c r="EK16" s="461"/>
      <c r="EL16" s="461"/>
      <c r="EM16" s="461"/>
      <c r="EN16" s="461"/>
      <c r="EO16" s="461"/>
      <c r="EP16" s="461"/>
      <c r="EQ16" s="461"/>
      <c r="ER16" s="461"/>
      <c r="ES16" s="461"/>
      <c r="ET16" s="461"/>
      <c r="EU16" s="461"/>
      <c r="EV16" s="461"/>
      <c r="EW16" s="461"/>
      <c r="EX16" s="461"/>
      <c r="EY16" s="461"/>
      <c r="EZ16" s="461"/>
      <c r="FA16" s="461"/>
      <c r="FB16" s="461"/>
      <c r="FC16" s="461"/>
      <c r="FD16" s="461"/>
      <c r="FE16" s="461"/>
      <c r="FF16" s="461"/>
      <c r="FG16" s="461"/>
      <c r="FH16" s="461"/>
      <c r="FI16" s="461"/>
      <c r="FJ16" s="461"/>
      <c r="FK16" s="461"/>
      <c r="FL16" s="461"/>
      <c r="FM16" s="461"/>
      <c r="FN16" s="461"/>
      <c r="FO16" s="461"/>
      <c r="FP16" s="461"/>
      <c r="FQ16" s="461"/>
      <c r="FR16" s="461"/>
      <c r="FS16" s="461"/>
      <c r="FT16" s="461"/>
      <c r="FU16" s="461"/>
      <c r="FV16" s="461"/>
      <c r="FW16" s="461"/>
      <c r="FX16" s="461"/>
      <c r="FY16" s="461"/>
      <c r="FZ16" s="461"/>
      <c r="GA16" s="461"/>
      <c r="GB16" s="461"/>
      <c r="GC16" s="461"/>
      <c r="GD16" s="469"/>
      <c r="GE16" s="469"/>
      <c r="GF16" s="469"/>
      <c r="GG16" s="469"/>
      <c r="GH16" s="469"/>
      <c r="GI16" s="469"/>
      <c r="GJ16" s="469"/>
      <c r="GK16" s="469"/>
      <c r="GL16" s="469">
        <v>1.5010727062374021</v>
      </c>
      <c r="GM16" s="458"/>
      <c r="GN16" s="469"/>
      <c r="GO16" s="469"/>
      <c r="GP16" s="468"/>
    </row>
    <row r="17" spans="1:198" x14ac:dyDescent="0.25">
      <c r="A17" s="465" t="s">
        <v>2268</v>
      </c>
      <c r="B17" s="461"/>
      <c r="C17" s="461"/>
      <c r="D17" s="461"/>
      <c r="E17" s="461"/>
      <c r="F17" s="461"/>
      <c r="G17" s="461"/>
      <c r="H17" s="461"/>
      <c r="I17" s="461"/>
      <c r="J17" s="461"/>
      <c r="K17" s="461"/>
      <c r="L17" s="461"/>
      <c r="M17" s="461"/>
      <c r="N17" s="461"/>
      <c r="O17" s="461"/>
      <c r="P17" s="461"/>
      <c r="Q17" s="461"/>
      <c r="R17" s="461"/>
      <c r="S17" s="461"/>
      <c r="T17" s="461"/>
      <c r="U17" s="461"/>
      <c r="V17" s="461"/>
      <c r="W17" s="461"/>
      <c r="X17" s="461"/>
      <c r="Y17" s="461"/>
      <c r="Z17" s="461"/>
      <c r="AA17" s="461"/>
      <c r="AB17" s="461"/>
      <c r="AC17" s="461"/>
      <c r="AD17" s="461"/>
      <c r="AE17" s="461"/>
      <c r="AF17" s="461"/>
      <c r="AG17" s="461"/>
      <c r="AH17" s="461"/>
      <c r="AI17" s="461"/>
      <c r="AJ17" s="461"/>
      <c r="AK17" s="461"/>
      <c r="AL17" s="461"/>
      <c r="AM17" s="461"/>
      <c r="AN17" s="461"/>
      <c r="AO17" s="461"/>
      <c r="AP17" s="461"/>
      <c r="AQ17" s="461"/>
      <c r="AR17" s="461"/>
      <c r="AS17" s="461"/>
      <c r="AT17" s="461"/>
      <c r="AU17" s="461"/>
      <c r="AV17" s="461"/>
      <c r="AW17" s="461"/>
      <c r="AX17" s="461"/>
      <c r="AY17" s="461"/>
      <c r="AZ17" s="461"/>
      <c r="BA17" s="461"/>
      <c r="BB17" s="461"/>
      <c r="BC17" s="461"/>
      <c r="BD17" s="461"/>
      <c r="BE17" s="461"/>
      <c r="BF17" s="461"/>
      <c r="BG17" s="461"/>
      <c r="BH17" s="461"/>
      <c r="BI17" s="461"/>
      <c r="BJ17" s="461"/>
      <c r="BK17" s="461"/>
      <c r="BL17" s="461"/>
      <c r="BM17" s="461"/>
      <c r="BN17" s="461"/>
      <c r="BO17" s="461"/>
      <c r="BP17" s="461"/>
      <c r="BQ17" s="461"/>
      <c r="BR17" s="461"/>
      <c r="BS17" s="461"/>
      <c r="BT17" s="461"/>
      <c r="BU17" s="461"/>
      <c r="BV17" s="461"/>
      <c r="BW17" s="461"/>
      <c r="BX17" s="461"/>
      <c r="BY17" s="461"/>
      <c r="BZ17" s="461"/>
      <c r="CA17" s="461"/>
      <c r="CB17" s="461"/>
      <c r="CC17" s="461"/>
      <c r="CD17" s="461"/>
      <c r="CE17" s="461"/>
      <c r="CF17" s="461"/>
      <c r="CG17" s="461"/>
      <c r="CH17" s="461"/>
      <c r="CI17" s="461"/>
      <c r="CJ17" s="461">
        <v>10.703400376174633</v>
      </c>
      <c r="CK17" s="461"/>
      <c r="CL17" s="461"/>
      <c r="CM17" s="461"/>
      <c r="CN17" s="461"/>
      <c r="CO17" s="461"/>
      <c r="CP17" s="461"/>
      <c r="CQ17" s="461"/>
      <c r="CR17" s="461"/>
      <c r="CS17" s="461"/>
      <c r="CT17" s="461"/>
      <c r="CU17" s="461"/>
      <c r="CV17" s="461"/>
      <c r="CW17" s="461"/>
      <c r="CX17" s="461"/>
      <c r="CY17" s="461"/>
      <c r="CZ17" s="461"/>
      <c r="DA17" s="461"/>
      <c r="DB17" s="461"/>
      <c r="DC17" s="461"/>
      <c r="DD17" s="461"/>
      <c r="DE17" s="461"/>
      <c r="DF17" s="461"/>
      <c r="DG17" s="461"/>
      <c r="DH17" s="461"/>
      <c r="DI17" s="461"/>
      <c r="DJ17" s="461"/>
      <c r="DK17" s="461"/>
      <c r="DL17" s="461"/>
      <c r="DM17" s="461"/>
      <c r="DN17" s="461"/>
      <c r="DO17" s="461"/>
      <c r="DP17" s="461"/>
      <c r="DQ17" s="461"/>
      <c r="DR17" s="461"/>
      <c r="DS17" s="461"/>
      <c r="DT17" s="461"/>
      <c r="DU17" s="461"/>
      <c r="DV17" s="461"/>
      <c r="DW17" s="461"/>
      <c r="DX17" s="461"/>
      <c r="DY17" s="461"/>
      <c r="DZ17" s="461"/>
      <c r="EA17" s="461"/>
      <c r="EB17" s="461"/>
      <c r="EC17" s="461"/>
      <c r="ED17" s="461"/>
      <c r="EE17" s="461"/>
      <c r="EF17" s="461"/>
      <c r="EG17" s="461"/>
      <c r="EH17" s="461"/>
      <c r="EI17" s="461"/>
      <c r="EJ17" s="461"/>
      <c r="EK17" s="461"/>
      <c r="EL17" s="461"/>
      <c r="EM17" s="461"/>
      <c r="EN17" s="461"/>
      <c r="EO17" s="461"/>
      <c r="EP17" s="461"/>
      <c r="EQ17" s="461"/>
      <c r="ER17" s="461"/>
      <c r="ES17" s="461"/>
      <c r="ET17" s="461"/>
      <c r="EU17" s="461"/>
      <c r="EV17" s="461"/>
      <c r="EW17" s="461"/>
      <c r="EX17" s="461"/>
      <c r="EY17" s="461"/>
      <c r="EZ17" s="461"/>
      <c r="FA17" s="461"/>
      <c r="FB17" s="461"/>
      <c r="FC17" s="461"/>
      <c r="FD17" s="461"/>
      <c r="FE17" s="461"/>
      <c r="FF17" s="461"/>
      <c r="FG17" s="461"/>
      <c r="FH17" s="461"/>
      <c r="FI17" s="461"/>
      <c r="FJ17" s="461"/>
      <c r="FK17" s="461"/>
      <c r="FL17" s="461"/>
      <c r="FM17" s="461"/>
      <c r="FN17" s="461"/>
      <c r="FO17" s="461"/>
      <c r="FP17" s="461"/>
      <c r="FQ17" s="461"/>
      <c r="FR17" s="461"/>
      <c r="FS17" s="461"/>
      <c r="FT17" s="461"/>
      <c r="FU17" s="461"/>
      <c r="FV17" s="461"/>
      <c r="FW17" s="461"/>
      <c r="FX17" s="461"/>
      <c r="FY17" s="461"/>
      <c r="FZ17" s="461"/>
      <c r="GA17" s="461"/>
      <c r="GB17" s="461"/>
      <c r="GC17" s="461"/>
      <c r="GD17" s="469"/>
      <c r="GE17" s="469"/>
      <c r="GF17" s="469"/>
      <c r="GG17" s="469"/>
      <c r="GH17" s="469"/>
      <c r="GI17" s="469"/>
      <c r="GJ17" s="469"/>
      <c r="GK17" s="469"/>
      <c r="GL17" s="469">
        <v>10.703400376174633</v>
      </c>
      <c r="GM17" s="458"/>
      <c r="GN17" s="469"/>
      <c r="GO17" s="469"/>
      <c r="GP17" s="468"/>
    </row>
    <row r="18" spans="1:198" x14ac:dyDescent="0.25">
      <c r="A18" s="465" t="s">
        <v>2269</v>
      </c>
      <c r="B18" s="461"/>
      <c r="C18" s="461"/>
      <c r="D18" s="461"/>
      <c r="E18" s="461"/>
      <c r="F18" s="461"/>
      <c r="G18" s="461"/>
      <c r="H18" s="461"/>
      <c r="I18" s="461"/>
      <c r="J18" s="461"/>
      <c r="K18" s="461"/>
      <c r="L18" s="461"/>
      <c r="M18" s="461"/>
      <c r="N18" s="461"/>
      <c r="O18" s="461"/>
      <c r="P18" s="461"/>
      <c r="Q18" s="461"/>
      <c r="R18" s="461"/>
      <c r="S18" s="461"/>
      <c r="T18" s="461"/>
      <c r="U18" s="461"/>
      <c r="V18" s="461"/>
      <c r="W18" s="461"/>
      <c r="X18" s="461"/>
      <c r="Y18" s="461"/>
      <c r="Z18" s="461"/>
      <c r="AA18" s="461"/>
      <c r="AB18" s="461"/>
      <c r="AC18" s="461"/>
      <c r="AD18" s="461"/>
      <c r="AE18" s="461"/>
      <c r="AF18" s="461"/>
      <c r="AG18" s="461"/>
      <c r="AH18" s="461"/>
      <c r="AI18" s="461"/>
      <c r="AJ18" s="461"/>
      <c r="AK18" s="461"/>
      <c r="AL18" s="461"/>
      <c r="AM18" s="461"/>
      <c r="AN18" s="461"/>
      <c r="AO18" s="461"/>
      <c r="AP18" s="461"/>
      <c r="AQ18" s="461"/>
      <c r="AR18" s="461"/>
      <c r="AS18" s="461"/>
      <c r="AT18" s="461"/>
      <c r="AU18" s="461"/>
      <c r="AV18" s="461"/>
      <c r="AW18" s="461"/>
      <c r="AX18" s="461"/>
      <c r="AY18" s="461"/>
      <c r="AZ18" s="461"/>
      <c r="BA18" s="461"/>
      <c r="BB18" s="461"/>
      <c r="BC18" s="461"/>
      <c r="BD18" s="461"/>
      <c r="BE18" s="461"/>
      <c r="BF18" s="461"/>
      <c r="BG18" s="461"/>
      <c r="BH18" s="461"/>
      <c r="BI18" s="461"/>
      <c r="BJ18" s="461"/>
      <c r="BK18" s="461"/>
      <c r="BL18" s="461"/>
      <c r="BM18" s="461"/>
      <c r="BN18" s="461"/>
      <c r="BO18" s="461"/>
      <c r="BP18" s="461"/>
      <c r="BQ18" s="461"/>
      <c r="BR18" s="461"/>
      <c r="BS18" s="461"/>
      <c r="BT18" s="461"/>
      <c r="BU18" s="461"/>
      <c r="BV18" s="461"/>
      <c r="BW18" s="461"/>
      <c r="BX18" s="461"/>
      <c r="BY18" s="461"/>
      <c r="BZ18" s="461"/>
      <c r="CA18" s="461"/>
      <c r="CB18" s="461"/>
      <c r="CC18" s="461"/>
      <c r="CD18" s="461"/>
      <c r="CE18" s="461"/>
      <c r="CF18" s="461"/>
      <c r="CG18" s="461"/>
      <c r="CH18" s="461"/>
      <c r="CI18" s="461"/>
      <c r="CJ18" s="461"/>
      <c r="CK18" s="461">
        <v>10.263280219314332</v>
      </c>
      <c r="CL18" s="461"/>
      <c r="CM18" s="461"/>
      <c r="CN18" s="461"/>
      <c r="CO18" s="461"/>
      <c r="CP18" s="461"/>
      <c r="CQ18" s="461"/>
      <c r="CR18" s="461"/>
      <c r="CS18" s="461"/>
      <c r="CT18" s="461"/>
      <c r="CU18" s="461"/>
      <c r="CV18" s="461"/>
      <c r="CW18" s="461"/>
      <c r="CX18" s="461"/>
      <c r="CY18" s="461"/>
      <c r="CZ18" s="461"/>
      <c r="DA18" s="461"/>
      <c r="DB18" s="461"/>
      <c r="DC18" s="461"/>
      <c r="DD18" s="461"/>
      <c r="DE18" s="461"/>
      <c r="DF18" s="461"/>
      <c r="DG18" s="461"/>
      <c r="DH18" s="461"/>
      <c r="DI18" s="461"/>
      <c r="DJ18" s="461"/>
      <c r="DK18" s="461"/>
      <c r="DL18" s="461"/>
      <c r="DM18" s="461"/>
      <c r="DN18" s="461"/>
      <c r="DO18" s="461"/>
      <c r="DP18" s="461"/>
      <c r="DQ18" s="461"/>
      <c r="DR18" s="461"/>
      <c r="DS18" s="461"/>
      <c r="DT18" s="461"/>
      <c r="DU18" s="461"/>
      <c r="DV18" s="461"/>
      <c r="DW18" s="461"/>
      <c r="DX18" s="461"/>
      <c r="DY18" s="461"/>
      <c r="DZ18" s="461"/>
      <c r="EA18" s="461"/>
      <c r="EB18" s="461"/>
      <c r="EC18" s="461"/>
      <c r="ED18" s="461"/>
      <c r="EE18" s="461"/>
      <c r="EF18" s="461"/>
      <c r="EG18" s="461"/>
      <c r="EH18" s="461"/>
      <c r="EI18" s="461"/>
      <c r="EJ18" s="461"/>
      <c r="EK18" s="461"/>
      <c r="EL18" s="461"/>
      <c r="EM18" s="461"/>
      <c r="EN18" s="461"/>
      <c r="EO18" s="461"/>
      <c r="EP18" s="461"/>
      <c r="EQ18" s="461"/>
      <c r="ER18" s="461"/>
      <c r="ES18" s="461"/>
      <c r="ET18" s="461"/>
      <c r="EU18" s="461"/>
      <c r="EV18" s="461"/>
      <c r="EW18" s="461"/>
      <c r="EX18" s="461"/>
      <c r="EY18" s="461"/>
      <c r="EZ18" s="461"/>
      <c r="FA18" s="461"/>
      <c r="FB18" s="461"/>
      <c r="FC18" s="461"/>
      <c r="FD18" s="461"/>
      <c r="FE18" s="461"/>
      <c r="FF18" s="461"/>
      <c r="FG18" s="461"/>
      <c r="FH18" s="461"/>
      <c r="FI18" s="461"/>
      <c r="FJ18" s="461"/>
      <c r="FK18" s="461"/>
      <c r="FL18" s="461"/>
      <c r="FM18" s="461"/>
      <c r="FN18" s="461"/>
      <c r="FO18" s="461"/>
      <c r="FP18" s="461"/>
      <c r="FQ18" s="461"/>
      <c r="FR18" s="461"/>
      <c r="FS18" s="461"/>
      <c r="FT18" s="461"/>
      <c r="FU18" s="461"/>
      <c r="FV18" s="461"/>
      <c r="FW18" s="461"/>
      <c r="FX18" s="461"/>
      <c r="FY18" s="461"/>
      <c r="FZ18" s="461"/>
      <c r="GA18" s="461"/>
      <c r="GB18" s="461"/>
      <c r="GC18" s="461"/>
      <c r="GD18" s="469"/>
      <c r="GE18" s="469"/>
      <c r="GF18" s="469"/>
      <c r="GG18" s="469"/>
      <c r="GH18" s="469"/>
      <c r="GI18" s="469"/>
      <c r="GJ18" s="469"/>
      <c r="GK18" s="469"/>
      <c r="GL18" s="469">
        <v>10.263280219314332</v>
      </c>
      <c r="GM18" s="458"/>
      <c r="GN18" s="469"/>
      <c r="GO18" s="469"/>
      <c r="GP18" s="468"/>
    </row>
    <row r="19" spans="1:198" x14ac:dyDescent="0.25">
      <c r="A19" s="465" t="s">
        <v>2270</v>
      </c>
      <c r="B19" s="461"/>
      <c r="C19" s="461"/>
      <c r="D19" s="461"/>
      <c r="E19" s="461"/>
      <c r="F19" s="461"/>
      <c r="G19" s="461"/>
      <c r="H19" s="461"/>
      <c r="I19" s="461"/>
      <c r="J19" s="461"/>
      <c r="K19" s="461"/>
      <c r="L19" s="461"/>
      <c r="M19" s="461"/>
      <c r="N19" s="461"/>
      <c r="O19" s="461"/>
      <c r="P19" s="461"/>
      <c r="Q19" s="461"/>
      <c r="R19" s="461"/>
      <c r="S19" s="461"/>
      <c r="T19" s="461"/>
      <c r="U19" s="461"/>
      <c r="V19" s="461"/>
      <c r="W19" s="461"/>
      <c r="X19" s="461"/>
      <c r="Y19" s="461"/>
      <c r="Z19" s="461"/>
      <c r="AA19" s="461"/>
      <c r="AB19" s="461"/>
      <c r="AC19" s="461"/>
      <c r="AD19" s="461"/>
      <c r="AE19" s="461"/>
      <c r="AF19" s="461"/>
      <c r="AG19" s="461"/>
      <c r="AH19" s="461"/>
      <c r="AI19" s="461"/>
      <c r="AJ19" s="461"/>
      <c r="AK19" s="461"/>
      <c r="AL19" s="461"/>
      <c r="AM19" s="461"/>
      <c r="AN19" s="461"/>
      <c r="AO19" s="461"/>
      <c r="AP19" s="461"/>
      <c r="AQ19" s="461"/>
      <c r="AR19" s="461"/>
      <c r="AS19" s="461"/>
      <c r="AT19" s="461"/>
      <c r="AU19" s="461"/>
      <c r="AV19" s="461"/>
      <c r="AW19" s="461"/>
      <c r="AX19" s="461"/>
      <c r="AY19" s="461"/>
      <c r="AZ19" s="461"/>
      <c r="BA19" s="461"/>
      <c r="BB19" s="461"/>
      <c r="BC19" s="461"/>
      <c r="BD19" s="461"/>
      <c r="BE19" s="461"/>
      <c r="BF19" s="461"/>
      <c r="BG19" s="461"/>
      <c r="BH19" s="461"/>
      <c r="BI19" s="461"/>
      <c r="BJ19" s="461"/>
      <c r="BK19" s="461"/>
      <c r="BL19" s="461"/>
      <c r="BM19" s="461"/>
      <c r="BN19" s="461"/>
      <c r="BO19" s="461"/>
      <c r="BP19" s="461"/>
      <c r="BQ19" s="461"/>
      <c r="BR19" s="461"/>
      <c r="BS19" s="461"/>
      <c r="BT19" s="461"/>
      <c r="BU19" s="461"/>
      <c r="BV19" s="461"/>
      <c r="BW19" s="461"/>
      <c r="BX19" s="461"/>
      <c r="BY19" s="461"/>
      <c r="BZ19" s="461"/>
      <c r="CA19" s="461"/>
      <c r="CB19" s="461"/>
      <c r="CC19" s="461"/>
      <c r="CD19" s="461"/>
      <c r="CE19" s="461"/>
      <c r="CF19" s="461"/>
      <c r="CG19" s="461"/>
      <c r="CH19" s="461"/>
      <c r="CI19" s="461"/>
      <c r="CJ19" s="461"/>
      <c r="CK19" s="461"/>
      <c r="CL19" s="461">
        <v>66.374880504092602</v>
      </c>
      <c r="CM19" s="461"/>
      <c r="CN19" s="461"/>
      <c r="CO19" s="461"/>
      <c r="CP19" s="461"/>
      <c r="CQ19" s="461"/>
      <c r="CR19" s="461"/>
      <c r="CS19" s="461"/>
      <c r="CT19" s="461"/>
      <c r="CU19" s="461"/>
      <c r="CV19" s="461"/>
      <c r="CW19" s="461"/>
      <c r="CX19" s="461"/>
      <c r="CY19" s="461"/>
      <c r="CZ19" s="461"/>
      <c r="DA19" s="461"/>
      <c r="DB19" s="461"/>
      <c r="DC19" s="461"/>
      <c r="DD19" s="461"/>
      <c r="DE19" s="461"/>
      <c r="DF19" s="461"/>
      <c r="DG19" s="461"/>
      <c r="DH19" s="461"/>
      <c r="DI19" s="461"/>
      <c r="DJ19" s="461"/>
      <c r="DK19" s="461"/>
      <c r="DL19" s="461"/>
      <c r="DM19" s="461"/>
      <c r="DN19" s="461"/>
      <c r="DO19" s="461"/>
      <c r="DP19" s="461"/>
      <c r="DQ19" s="461"/>
      <c r="DR19" s="461"/>
      <c r="DS19" s="461"/>
      <c r="DT19" s="461"/>
      <c r="DU19" s="461"/>
      <c r="DV19" s="461"/>
      <c r="DW19" s="461"/>
      <c r="DX19" s="461"/>
      <c r="DY19" s="461"/>
      <c r="DZ19" s="461"/>
      <c r="EA19" s="461"/>
      <c r="EB19" s="461"/>
      <c r="EC19" s="461"/>
      <c r="ED19" s="461"/>
      <c r="EE19" s="461"/>
      <c r="EF19" s="461"/>
      <c r="EG19" s="461"/>
      <c r="EH19" s="461"/>
      <c r="EI19" s="461"/>
      <c r="EJ19" s="461"/>
      <c r="EK19" s="461"/>
      <c r="EL19" s="461"/>
      <c r="EM19" s="461"/>
      <c r="EN19" s="461"/>
      <c r="EO19" s="461"/>
      <c r="EP19" s="461"/>
      <c r="EQ19" s="461"/>
      <c r="ER19" s="461"/>
      <c r="ES19" s="461"/>
      <c r="ET19" s="461"/>
      <c r="EU19" s="461"/>
      <c r="EV19" s="461"/>
      <c r="EW19" s="461"/>
      <c r="EX19" s="461"/>
      <c r="EY19" s="461"/>
      <c r="EZ19" s="461"/>
      <c r="FA19" s="461"/>
      <c r="FB19" s="461"/>
      <c r="FC19" s="461"/>
      <c r="FD19" s="461"/>
      <c r="FE19" s="461"/>
      <c r="FF19" s="461"/>
      <c r="FG19" s="461"/>
      <c r="FH19" s="461"/>
      <c r="FI19" s="461"/>
      <c r="FJ19" s="461"/>
      <c r="FK19" s="461"/>
      <c r="FL19" s="461"/>
      <c r="FM19" s="461"/>
      <c r="FN19" s="461"/>
      <c r="FO19" s="461"/>
      <c r="FP19" s="461"/>
      <c r="FQ19" s="461"/>
      <c r="FR19" s="461"/>
      <c r="FS19" s="461"/>
      <c r="FT19" s="461"/>
      <c r="FU19" s="461"/>
      <c r="FV19" s="461"/>
      <c r="FW19" s="461"/>
      <c r="FX19" s="461"/>
      <c r="FY19" s="461"/>
      <c r="FZ19" s="461"/>
      <c r="GA19" s="461"/>
      <c r="GB19" s="461"/>
      <c r="GC19" s="461"/>
      <c r="GD19" s="469"/>
      <c r="GE19" s="469"/>
      <c r="GF19" s="469"/>
      <c r="GG19" s="469"/>
      <c r="GH19" s="469"/>
      <c r="GI19" s="469"/>
      <c r="GJ19" s="469"/>
      <c r="GK19" s="469"/>
      <c r="GL19" s="469">
        <v>66.374880504092602</v>
      </c>
      <c r="GM19" s="458"/>
      <c r="GN19" s="469"/>
      <c r="GO19" s="469"/>
      <c r="GP19" s="468"/>
    </row>
    <row r="20" spans="1:198" x14ac:dyDescent="0.25">
      <c r="A20" s="465" t="s">
        <v>1652</v>
      </c>
      <c r="B20" s="461"/>
      <c r="C20" s="461"/>
      <c r="D20" s="461"/>
      <c r="E20" s="461"/>
      <c r="F20" s="461"/>
      <c r="G20" s="461"/>
      <c r="H20" s="461"/>
      <c r="I20" s="461"/>
      <c r="J20" s="461"/>
      <c r="K20" s="461"/>
      <c r="L20" s="461"/>
      <c r="M20" s="461"/>
      <c r="N20" s="461"/>
      <c r="O20" s="461"/>
      <c r="P20" s="461"/>
      <c r="Q20" s="461"/>
      <c r="R20" s="461"/>
      <c r="S20" s="461"/>
      <c r="T20" s="461"/>
      <c r="U20" s="461"/>
      <c r="V20" s="461"/>
      <c r="W20" s="461"/>
      <c r="X20" s="461"/>
      <c r="Y20" s="461"/>
      <c r="Z20" s="461"/>
      <c r="AA20" s="461"/>
      <c r="AB20" s="461"/>
      <c r="AC20" s="461"/>
      <c r="AD20" s="461"/>
      <c r="AE20" s="461"/>
      <c r="AF20" s="461"/>
      <c r="AG20" s="461"/>
      <c r="AH20" s="461"/>
      <c r="AI20" s="461"/>
      <c r="AJ20" s="461"/>
      <c r="AK20" s="461"/>
      <c r="AL20" s="461"/>
      <c r="AM20" s="461"/>
      <c r="AN20" s="461"/>
      <c r="AO20" s="461"/>
      <c r="AP20" s="461"/>
      <c r="AQ20" s="461"/>
      <c r="AR20" s="461"/>
      <c r="AS20" s="461"/>
      <c r="AT20" s="461"/>
      <c r="AU20" s="461"/>
      <c r="AV20" s="461"/>
      <c r="AW20" s="461"/>
      <c r="AX20" s="461"/>
      <c r="AY20" s="461"/>
      <c r="AZ20" s="461"/>
      <c r="BA20" s="461"/>
      <c r="BB20" s="461"/>
      <c r="BC20" s="461"/>
      <c r="BD20" s="461"/>
      <c r="BE20" s="461"/>
      <c r="BF20" s="461"/>
      <c r="BG20" s="461"/>
      <c r="BH20" s="461"/>
      <c r="BI20" s="461"/>
      <c r="BJ20" s="461"/>
      <c r="BK20" s="461"/>
      <c r="BL20" s="461"/>
      <c r="BM20" s="461"/>
      <c r="BN20" s="461"/>
      <c r="BO20" s="461"/>
      <c r="BP20" s="461"/>
      <c r="BQ20" s="461"/>
      <c r="BR20" s="461"/>
      <c r="BS20" s="461"/>
      <c r="BT20" s="461"/>
      <c r="BU20" s="461"/>
      <c r="BV20" s="461"/>
      <c r="BW20" s="461"/>
      <c r="BX20" s="461"/>
      <c r="BY20" s="461"/>
      <c r="BZ20" s="461"/>
      <c r="CA20" s="461"/>
      <c r="CB20" s="461"/>
      <c r="CC20" s="461"/>
      <c r="CD20" s="461"/>
      <c r="CE20" s="461"/>
      <c r="CF20" s="461"/>
      <c r="CG20" s="461"/>
      <c r="CH20" s="461"/>
      <c r="CI20" s="461"/>
      <c r="CJ20" s="461"/>
      <c r="CK20" s="461"/>
      <c r="CL20" s="461"/>
      <c r="CM20" s="461">
        <v>18.865178447470061</v>
      </c>
      <c r="CN20" s="461"/>
      <c r="CO20" s="461"/>
      <c r="CP20" s="461"/>
      <c r="CQ20" s="461"/>
      <c r="CR20" s="461"/>
      <c r="CS20" s="461"/>
      <c r="CT20" s="461"/>
      <c r="CU20" s="461"/>
      <c r="CV20" s="461"/>
      <c r="CW20" s="461"/>
      <c r="CX20" s="461"/>
      <c r="CY20" s="461"/>
      <c r="CZ20" s="461"/>
      <c r="DA20" s="461"/>
      <c r="DB20" s="461"/>
      <c r="DC20" s="461"/>
      <c r="DD20" s="461"/>
      <c r="DE20" s="461"/>
      <c r="DF20" s="461"/>
      <c r="DG20" s="461"/>
      <c r="DH20" s="461"/>
      <c r="DI20" s="461"/>
      <c r="DJ20" s="461"/>
      <c r="DK20" s="461"/>
      <c r="DL20" s="461"/>
      <c r="DM20" s="461"/>
      <c r="DN20" s="461"/>
      <c r="DO20" s="461"/>
      <c r="DP20" s="461"/>
      <c r="DQ20" s="461"/>
      <c r="DR20" s="461"/>
      <c r="DS20" s="461"/>
      <c r="DT20" s="461"/>
      <c r="DU20" s="461"/>
      <c r="DV20" s="461"/>
      <c r="DW20" s="461"/>
      <c r="DX20" s="461"/>
      <c r="DY20" s="461"/>
      <c r="DZ20" s="461"/>
      <c r="EA20" s="461"/>
      <c r="EB20" s="461"/>
      <c r="EC20" s="461"/>
      <c r="ED20" s="461"/>
      <c r="EE20" s="461"/>
      <c r="EF20" s="461"/>
      <c r="EG20" s="461"/>
      <c r="EH20" s="461"/>
      <c r="EI20" s="461"/>
      <c r="EJ20" s="461"/>
      <c r="EK20" s="461"/>
      <c r="EL20" s="461"/>
      <c r="EM20" s="461"/>
      <c r="EN20" s="461"/>
      <c r="EO20" s="461"/>
      <c r="EP20" s="461"/>
      <c r="EQ20" s="461"/>
      <c r="ER20" s="461"/>
      <c r="ES20" s="461"/>
      <c r="ET20" s="461"/>
      <c r="EU20" s="461"/>
      <c r="EV20" s="461"/>
      <c r="EW20" s="461"/>
      <c r="EX20" s="461"/>
      <c r="EY20" s="461"/>
      <c r="EZ20" s="461"/>
      <c r="FA20" s="461"/>
      <c r="FB20" s="461"/>
      <c r="FC20" s="461"/>
      <c r="FD20" s="461"/>
      <c r="FE20" s="461"/>
      <c r="FF20" s="461"/>
      <c r="FG20" s="461"/>
      <c r="FH20" s="461"/>
      <c r="FI20" s="461"/>
      <c r="FJ20" s="461"/>
      <c r="FK20" s="461"/>
      <c r="FL20" s="461"/>
      <c r="FM20" s="461"/>
      <c r="FN20" s="461"/>
      <c r="FO20" s="461"/>
      <c r="FP20" s="461"/>
      <c r="FQ20" s="461"/>
      <c r="FR20" s="461"/>
      <c r="FS20" s="461"/>
      <c r="FT20" s="461"/>
      <c r="FU20" s="461"/>
      <c r="FV20" s="461"/>
      <c r="FW20" s="461"/>
      <c r="FX20" s="461"/>
      <c r="FY20" s="461"/>
      <c r="FZ20" s="461"/>
      <c r="GA20" s="461"/>
      <c r="GB20" s="461"/>
      <c r="GC20" s="461"/>
      <c r="GD20" s="469"/>
      <c r="GE20" s="469"/>
      <c r="GF20" s="469"/>
      <c r="GG20" s="469"/>
      <c r="GH20" s="469"/>
      <c r="GI20" s="469"/>
      <c r="GJ20" s="469"/>
      <c r="GK20" s="469"/>
      <c r="GL20" s="469">
        <v>18.865178447470061</v>
      </c>
      <c r="GM20" s="458"/>
      <c r="GN20" s="469"/>
      <c r="GO20" s="469"/>
      <c r="GP20" s="468"/>
    </row>
    <row r="21" spans="1:198" x14ac:dyDescent="0.25">
      <c r="A21" s="465" t="s">
        <v>1651</v>
      </c>
      <c r="B21" s="461"/>
      <c r="C21" s="461"/>
      <c r="D21" s="461"/>
      <c r="E21" s="461"/>
      <c r="F21" s="461"/>
      <c r="G21" s="461"/>
      <c r="H21" s="461"/>
      <c r="I21" s="461"/>
      <c r="J21" s="461"/>
      <c r="K21" s="461"/>
      <c r="L21" s="461"/>
      <c r="M21" s="461"/>
      <c r="N21" s="461"/>
      <c r="O21" s="461"/>
      <c r="P21" s="461"/>
      <c r="Q21" s="461"/>
      <c r="R21" s="461"/>
      <c r="S21" s="461"/>
      <c r="T21" s="461"/>
      <c r="U21" s="461"/>
      <c r="V21" s="461"/>
      <c r="W21" s="461"/>
      <c r="X21" s="461"/>
      <c r="Y21" s="461"/>
      <c r="Z21" s="461"/>
      <c r="AA21" s="461"/>
      <c r="AB21" s="461"/>
      <c r="AC21" s="461"/>
      <c r="AD21" s="461"/>
      <c r="AE21" s="461"/>
      <c r="AF21" s="461"/>
      <c r="AG21" s="461"/>
      <c r="AH21" s="461"/>
      <c r="AI21" s="461"/>
      <c r="AJ21" s="461"/>
      <c r="AK21" s="461"/>
      <c r="AL21" s="461"/>
      <c r="AM21" s="461"/>
      <c r="AN21" s="461"/>
      <c r="AO21" s="461"/>
      <c r="AP21" s="461"/>
      <c r="AQ21" s="461"/>
      <c r="AR21" s="461"/>
      <c r="AS21" s="461"/>
      <c r="AT21" s="461"/>
      <c r="AU21" s="461"/>
      <c r="AV21" s="461"/>
      <c r="AW21" s="461"/>
      <c r="AX21" s="461"/>
      <c r="AY21" s="461"/>
      <c r="AZ21" s="461"/>
      <c r="BA21" s="461"/>
      <c r="BB21" s="461"/>
      <c r="BC21" s="461"/>
      <c r="BD21" s="461"/>
      <c r="BE21" s="461"/>
      <c r="BF21" s="461"/>
      <c r="BG21" s="461"/>
      <c r="BH21" s="461"/>
      <c r="BI21" s="461"/>
      <c r="BJ21" s="461"/>
      <c r="BK21" s="461"/>
      <c r="BL21" s="461"/>
      <c r="BM21" s="461"/>
      <c r="BN21" s="461"/>
      <c r="BO21" s="461"/>
      <c r="BP21" s="461"/>
      <c r="BQ21" s="461"/>
      <c r="BR21" s="461"/>
      <c r="BS21" s="461"/>
      <c r="BT21" s="461"/>
      <c r="BU21" s="461"/>
      <c r="BV21" s="461"/>
      <c r="BW21" s="461"/>
      <c r="BX21" s="461"/>
      <c r="BY21" s="461"/>
      <c r="BZ21" s="461"/>
      <c r="CA21" s="461"/>
      <c r="CB21" s="461"/>
      <c r="CC21" s="461"/>
      <c r="CD21" s="461"/>
      <c r="CE21" s="461"/>
      <c r="CF21" s="461"/>
      <c r="CG21" s="461"/>
      <c r="CH21" s="461"/>
      <c r="CI21" s="461"/>
      <c r="CJ21" s="461"/>
      <c r="CK21" s="461"/>
      <c r="CL21" s="461"/>
      <c r="CM21" s="461"/>
      <c r="CN21" s="461">
        <v>9.7303372121724188</v>
      </c>
      <c r="CO21" s="461"/>
      <c r="CP21" s="461"/>
      <c r="CQ21" s="461"/>
      <c r="CR21" s="461"/>
      <c r="CS21" s="461"/>
      <c r="CT21" s="461"/>
      <c r="CU21" s="461"/>
      <c r="CV21" s="461"/>
      <c r="CW21" s="461"/>
      <c r="CX21" s="461"/>
      <c r="CY21" s="461"/>
      <c r="CZ21" s="461"/>
      <c r="DA21" s="461"/>
      <c r="DB21" s="461"/>
      <c r="DC21" s="461"/>
      <c r="DD21" s="461"/>
      <c r="DE21" s="461"/>
      <c r="DF21" s="461"/>
      <c r="DG21" s="461"/>
      <c r="DH21" s="461"/>
      <c r="DI21" s="461"/>
      <c r="DJ21" s="461"/>
      <c r="DK21" s="461"/>
      <c r="DL21" s="461"/>
      <c r="DM21" s="461"/>
      <c r="DN21" s="461"/>
      <c r="DO21" s="461"/>
      <c r="DP21" s="461"/>
      <c r="DQ21" s="461"/>
      <c r="DR21" s="461"/>
      <c r="DS21" s="461"/>
      <c r="DT21" s="461"/>
      <c r="DU21" s="461"/>
      <c r="DV21" s="461"/>
      <c r="DW21" s="461"/>
      <c r="DX21" s="461"/>
      <c r="DY21" s="461"/>
      <c r="DZ21" s="461"/>
      <c r="EA21" s="461"/>
      <c r="EB21" s="461"/>
      <c r="EC21" s="461"/>
      <c r="ED21" s="461"/>
      <c r="EE21" s="461"/>
      <c r="EF21" s="461"/>
      <c r="EG21" s="461"/>
      <c r="EH21" s="461"/>
      <c r="EI21" s="461"/>
      <c r="EJ21" s="461"/>
      <c r="EK21" s="461"/>
      <c r="EL21" s="461"/>
      <c r="EM21" s="461"/>
      <c r="EN21" s="461"/>
      <c r="EO21" s="461"/>
      <c r="EP21" s="461"/>
      <c r="EQ21" s="461"/>
      <c r="ER21" s="461"/>
      <c r="ES21" s="461"/>
      <c r="ET21" s="461"/>
      <c r="EU21" s="461"/>
      <c r="EV21" s="461"/>
      <c r="EW21" s="461"/>
      <c r="EX21" s="461"/>
      <c r="EY21" s="461"/>
      <c r="EZ21" s="461"/>
      <c r="FA21" s="461"/>
      <c r="FB21" s="461"/>
      <c r="FC21" s="461"/>
      <c r="FD21" s="461"/>
      <c r="FE21" s="461"/>
      <c r="FF21" s="461"/>
      <c r="FG21" s="461"/>
      <c r="FH21" s="461"/>
      <c r="FI21" s="461"/>
      <c r="FJ21" s="461"/>
      <c r="FK21" s="461"/>
      <c r="FL21" s="461"/>
      <c r="FM21" s="461"/>
      <c r="FN21" s="461"/>
      <c r="FO21" s="461"/>
      <c r="FP21" s="461"/>
      <c r="FQ21" s="461"/>
      <c r="FR21" s="461"/>
      <c r="FS21" s="461"/>
      <c r="FT21" s="461"/>
      <c r="FU21" s="461"/>
      <c r="FV21" s="461"/>
      <c r="FW21" s="461"/>
      <c r="FX21" s="461"/>
      <c r="FY21" s="461"/>
      <c r="FZ21" s="461"/>
      <c r="GA21" s="461"/>
      <c r="GB21" s="461"/>
      <c r="GC21" s="461"/>
      <c r="GD21" s="469"/>
      <c r="GE21" s="469"/>
      <c r="GF21" s="469"/>
      <c r="GG21" s="469"/>
      <c r="GH21" s="469"/>
      <c r="GI21" s="469"/>
      <c r="GJ21" s="469"/>
      <c r="GK21" s="469"/>
      <c r="GL21" s="469">
        <v>9.7303372121724188</v>
      </c>
      <c r="GM21" s="458"/>
      <c r="GN21" s="469"/>
      <c r="GO21" s="469"/>
      <c r="GP21" s="468"/>
    </row>
    <row r="22" spans="1:198" x14ac:dyDescent="0.25">
      <c r="A22" s="465" t="s">
        <v>1650</v>
      </c>
      <c r="B22" s="461"/>
      <c r="C22" s="461"/>
      <c r="D22" s="461"/>
      <c r="E22" s="461"/>
      <c r="F22" s="461"/>
      <c r="G22" s="461"/>
      <c r="H22" s="461"/>
      <c r="I22" s="461"/>
      <c r="J22" s="461"/>
      <c r="K22" s="461"/>
      <c r="L22" s="461"/>
      <c r="M22" s="461"/>
      <c r="N22" s="461"/>
      <c r="O22" s="461"/>
      <c r="P22" s="461"/>
      <c r="Q22" s="461"/>
      <c r="R22" s="461"/>
      <c r="S22" s="461"/>
      <c r="T22" s="461"/>
      <c r="U22" s="461"/>
      <c r="V22" s="461"/>
      <c r="W22" s="461"/>
      <c r="X22" s="461"/>
      <c r="Y22" s="461"/>
      <c r="Z22" s="461"/>
      <c r="AA22" s="461"/>
      <c r="AB22" s="461"/>
      <c r="AC22" s="461"/>
      <c r="AD22" s="461"/>
      <c r="AE22" s="461"/>
      <c r="AF22" s="461"/>
      <c r="AG22" s="461"/>
      <c r="AH22" s="461"/>
      <c r="AI22" s="461"/>
      <c r="AJ22" s="461"/>
      <c r="AK22" s="461"/>
      <c r="AL22" s="461"/>
      <c r="AM22" s="461"/>
      <c r="AN22" s="461"/>
      <c r="AO22" s="461"/>
      <c r="AP22" s="461"/>
      <c r="AQ22" s="461"/>
      <c r="AR22" s="461"/>
      <c r="AS22" s="461"/>
      <c r="AT22" s="461"/>
      <c r="AU22" s="461"/>
      <c r="AV22" s="461"/>
      <c r="AW22" s="461"/>
      <c r="AX22" s="461"/>
      <c r="AY22" s="461"/>
      <c r="AZ22" s="461"/>
      <c r="BA22" s="461"/>
      <c r="BB22" s="461"/>
      <c r="BC22" s="461"/>
      <c r="BD22" s="461"/>
      <c r="BE22" s="461"/>
      <c r="BF22" s="461"/>
      <c r="BG22" s="461"/>
      <c r="BH22" s="461"/>
      <c r="BI22" s="461"/>
      <c r="BJ22" s="461"/>
      <c r="BK22" s="461"/>
      <c r="BL22" s="461"/>
      <c r="BM22" s="461"/>
      <c r="BN22" s="461"/>
      <c r="BO22" s="461"/>
      <c r="BP22" s="461"/>
      <c r="BQ22" s="461"/>
      <c r="BR22" s="461"/>
      <c r="BS22" s="461"/>
      <c r="BT22" s="461"/>
      <c r="BU22" s="461"/>
      <c r="BV22" s="461"/>
      <c r="BW22" s="461"/>
      <c r="BX22" s="461"/>
      <c r="BY22" s="461"/>
      <c r="BZ22" s="461"/>
      <c r="CA22" s="461"/>
      <c r="CB22" s="461"/>
      <c r="CC22" s="461"/>
      <c r="CD22" s="461"/>
      <c r="CE22" s="461"/>
      <c r="CF22" s="461"/>
      <c r="CG22" s="461"/>
      <c r="CH22" s="461"/>
      <c r="CI22" s="461"/>
      <c r="CJ22" s="461"/>
      <c r="CK22" s="461"/>
      <c r="CL22" s="461"/>
      <c r="CM22" s="461"/>
      <c r="CN22" s="461"/>
      <c r="CO22" s="461">
        <v>63.499939034463651</v>
      </c>
      <c r="CP22" s="461">
        <v>86.999562064561374</v>
      </c>
      <c r="CQ22" s="461"/>
      <c r="CR22" s="461"/>
      <c r="CS22" s="461"/>
      <c r="CT22" s="461">
        <v>7.6256264796368196</v>
      </c>
      <c r="CU22" s="461">
        <v>12.040436202757196</v>
      </c>
      <c r="CV22" s="461"/>
      <c r="CW22" s="461"/>
      <c r="CX22" s="461"/>
      <c r="CY22" s="461"/>
      <c r="CZ22" s="461"/>
      <c r="DA22" s="461"/>
      <c r="DB22" s="461"/>
      <c r="DC22" s="461"/>
      <c r="DD22" s="461"/>
      <c r="DE22" s="461"/>
      <c r="DF22" s="461"/>
      <c r="DG22" s="461"/>
      <c r="DH22" s="461"/>
      <c r="DI22" s="461"/>
      <c r="DJ22" s="461"/>
      <c r="DK22" s="461"/>
      <c r="DL22" s="461"/>
      <c r="DM22" s="461"/>
      <c r="DN22" s="461"/>
      <c r="DO22" s="461"/>
      <c r="DP22" s="461"/>
      <c r="DQ22" s="461"/>
      <c r="DR22" s="461"/>
      <c r="DS22" s="461"/>
      <c r="DT22" s="461"/>
      <c r="DU22" s="461"/>
      <c r="DV22" s="461"/>
      <c r="DW22" s="461"/>
      <c r="DX22" s="461"/>
      <c r="DY22" s="461"/>
      <c r="DZ22" s="461"/>
      <c r="EA22" s="461"/>
      <c r="EB22" s="461"/>
      <c r="EC22" s="461"/>
      <c r="ED22" s="461"/>
      <c r="EE22" s="461"/>
      <c r="EF22" s="461"/>
      <c r="EG22" s="461"/>
      <c r="EH22" s="461"/>
      <c r="EI22" s="461"/>
      <c r="EJ22" s="461"/>
      <c r="EK22" s="461"/>
      <c r="EL22" s="461"/>
      <c r="EM22" s="461"/>
      <c r="EN22" s="461"/>
      <c r="EO22" s="461"/>
      <c r="EP22" s="461"/>
      <c r="EQ22" s="461"/>
      <c r="ER22" s="461"/>
      <c r="ES22" s="461"/>
      <c r="ET22" s="461"/>
      <c r="EU22" s="461"/>
      <c r="EV22" s="461"/>
      <c r="EW22" s="461"/>
      <c r="EX22" s="461"/>
      <c r="EY22" s="461"/>
      <c r="EZ22" s="461"/>
      <c r="FA22" s="461"/>
      <c r="FB22" s="461"/>
      <c r="FC22" s="461"/>
      <c r="FD22" s="461"/>
      <c r="FE22" s="461"/>
      <c r="FF22" s="461"/>
      <c r="FG22" s="461"/>
      <c r="FH22" s="461"/>
      <c r="FI22" s="461"/>
      <c r="FJ22" s="461"/>
      <c r="FK22" s="461"/>
      <c r="FL22" s="461"/>
      <c r="FM22" s="461"/>
      <c r="FN22" s="461"/>
      <c r="FO22" s="461"/>
      <c r="FP22" s="461"/>
      <c r="FQ22" s="461"/>
      <c r="FR22" s="461"/>
      <c r="FS22" s="461"/>
      <c r="FT22" s="461"/>
      <c r="FU22" s="461"/>
      <c r="FV22" s="461"/>
      <c r="FW22" s="461"/>
      <c r="FX22" s="461"/>
      <c r="FY22" s="461"/>
      <c r="FZ22" s="461"/>
      <c r="GA22" s="461"/>
      <c r="GB22" s="461"/>
      <c r="GC22" s="461"/>
      <c r="GD22" s="469"/>
      <c r="GE22" s="469"/>
      <c r="GF22" s="469"/>
      <c r="GG22" s="469"/>
      <c r="GH22" s="469"/>
      <c r="GI22" s="469"/>
      <c r="GJ22" s="469"/>
      <c r="GK22" s="469"/>
      <c r="GL22" s="469">
        <v>170.16556378141905</v>
      </c>
      <c r="GM22" s="458"/>
      <c r="GN22" s="469"/>
      <c r="GO22" s="469"/>
      <c r="GP22" s="468"/>
    </row>
    <row r="23" spans="1:198" x14ac:dyDescent="0.25">
      <c r="A23" s="465" t="s">
        <v>1649</v>
      </c>
      <c r="B23" s="461"/>
      <c r="C23" s="461"/>
      <c r="D23" s="461"/>
      <c r="E23" s="461"/>
      <c r="F23" s="461"/>
      <c r="G23" s="461"/>
      <c r="H23" s="461"/>
      <c r="I23" s="461"/>
      <c r="J23" s="461"/>
      <c r="K23" s="461"/>
      <c r="L23" s="461"/>
      <c r="M23" s="461"/>
      <c r="N23" s="461"/>
      <c r="O23" s="461"/>
      <c r="P23" s="461"/>
      <c r="Q23" s="461"/>
      <c r="R23" s="461"/>
      <c r="S23" s="461"/>
      <c r="T23" s="461"/>
      <c r="U23" s="461"/>
      <c r="V23" s="461"/>
      <c r="W23" s="461"/>
      <c r="X23" s="461"/>
      <c r="Y23" s="461"/>
      <c r="Z23" s="461"/>
      <c r="AA23" s="461"/>
      <c r="AB23" s="461"/>
      <c r="AC23" s="461"/>
      <c r="AD23" s="461"/>
      <c r="AE23" s="461"/>
      <c r="AF23" s="461"/>
      <c r="AG23" s="461"/>
      <c r="AH23" s="461"/>
      <c r="AI23" s="461"/>
      <c r="AJ23" s="461"/>
      <c r="AK23" s="461"/>
      <c r="AL23" s="461"/>
      <c r="AM23" s="461"/>
      <c r="AN23" s="461"/>
      <c r="AO23" s="461"/>
      <c r="AP23" s="461"/>
      <c r="AQ23" s="461"/>
      <c r="AR23" s="461"/>
      <c r="AS23" s="461"/>
      <c r="AT23" s="461"/>
      <c r="AU23" s="461"/>
      <c r="AV23" s="461"/>
      <c r="AW23" s="461"/>
      <c r="AX23" s="461"/>
      <c r="AY23" s="461"/>
      <c r="AZ23" s="461"/>
      <c r="BA23" s="461"/>
      <c r="BB23" s="461"/>
      <c r="BC23" s="461"/>
      <c r="BD23" s="461"/>
      <c r="BE23" s="461"/>
      <c r="BF23" s="461"/>
      <c r="BG23" s="461"/>
      <c r="BH23" s="461"/>
      <c r="BI23" s="461"/>
      <c r="BJ23" s="461"/>
      <c r="BK23" s="461"/>
      <c r="BL23" s="461"/>
      <c r="BM23" s="461"/>
      <c r="BN23" s="461"/>
      <c r="BO23" s="461"/>
      <c r="BP23" s="461"/>
      <c r="BQ23" s="461"/>
      <c r="BR23" s="461"/>
      <c r="BS23" s="461"/>
      <c r="BT23" s="461"/>
      <c r="BU23" s="461"/>
      <c r="BV23" s="461"/>
      <c r="BW23" s="461"/>
      <c r="BX23" s="461"/>
      <c r="BY23" s="461"/>
      <c r="BZ23" s="461"/>
      <c r="CA23" s="461"/>
      <c r="CB23" s="461"/>
      <c r="CC23" s="461"/>
      <c r="CD23" s="461"/>
      <c r="CE23" s="461"/>
      <c r="CF23" s="461"/>
      <c r="CG23" s="461"/>
      <c r="CH23" s="461"/>
      <c r="CI23" s="461"/>
      <c r="CJ23" s="461"/>
      <c r="CK23" s="461"/>
      <c r="CL23" s="461"/>
      <c r="CM23" s="461"/>
      <c r="CN23" s="461"/>
      <c r="CO23" s="461"/>
      <c r="CP23" s="461"/>
      <c r="CQ23" s="461"/>
      <c r="CR23" s="461"/>
      <c r="CS23" s="461"/>
      <c r="CT23" s="461">
        <v>95.878027294024008</v>
      </c>
      <c r="CU23" s="461">
        <v>6.7780499638040572</v>
      </c>
      <c r="CV23" s="461"/>
      <c r="CW23" s="461"/>
      <c r="CX23" s="461"/>
      <c r="CY23" s="461"/>
      <c r="CZ23" s="461"/>
      <c r="DA23" s="461"/>
      <c r="DB23" s="461"/>
      <c r="DC23" s="461"/>
      <c r="DD23" s="461"/>
      <c r="DE23" s="461"/>
      <c r="DF23" s="461"/>
      <c r="DG23" s="461"/>
      <c r="DH23" s="461"/>
      <c r="DI23" s="461"/>
      <c r="DJ23" s="461"/>
      <c r="DK23" s="461"/>
      <c r="DL23" s="461"/>
      <c r="DM23" s="461"/>
      <c r="DN23" s="461"/>
      <c r="DO23" s="461"/>
      <c r="DP23" s="461"/>
      <c r="DQ23" s="461"/>
      <c r="DR23" s="461"/>
      <c r="DS23" s="461"/>
      <c r="DT23" s="461"/>
      <c r="DU23" s="461"/>
      <c r="DV23" s="461"/>
      <c r="DW23" s="461"/>
      <c r="DX23" s="461"/>
      <c r="DY23" s="461"/>
      <c r="DZ23" s="461"/>
      <c r="EA23" s="461"/>
      <c r="EB23" s="461"/>
      <c r="EC23" s="461"/>
      <c r="ED23" s="461"/>
      <c r="EE23" s="461"/>
      <c r="EF23" s="461"/>
      <c r="EG23" s="461"/>
      <c r="EH23" s="461"/>
      <c r="EI23" s="461"/>
      <c r="EJ23" s="461"/>
      <c r="EK23" s="461"/>
      <c r="EL23" s="461"/>
      <c r="EM23" s="461"/>
      <c r="EN23" s="461"/>
      <c r="EO23" s="461"/>
      <c r="EP23" s="461"/>
      <c r="EQ23" s="461"/>
      <c r="ER23" s="461"/>
      <c r="ES23" s="461"/>
      <c r="ET23" s="461"/>
      <c r="EU23" s="461"/>
      <c r="EV23" s="461"/>
      <c r="EW23" s="461"/>
      <c r="EX23" s="461"/>
      <c r="EY23" s="461"/>
      <c r="EZ23" s="461"/>
      <c r="FA23" s="461"/>
      <c r="FB23" s="461"/>
      <c r="FC23" s="461"/>
      <c r="FD23" s="461"/>
      <c r="FE23" s="461"/>
      <c r="FF23" s="461"/>
      <c r="FG23" s="461"/>
      <c r="FH23" s="461"/>
      <c r="FI23" s="461"/>
      <c r="FJ23" s="461"/>
      <c r="FK23" s="461"/>
      <c r="FL23" s="461"/>
      <c r="FM23" s="461"/>
      <c r="FN23" s="461"/>
      <c r="FO23" s="461"/>
      <c r="FP23" s="461"/>
      <c r="FQ23" s="461"/>
      <c r="FR23" s="461"/>
      <c r="FS23" s="461"/>
      <c r="FT23" s="461"/>
      <c r="FU23" s="461"/>
      <c r="FV23" s="461"/>
      <c r="FW23" s="461"/>
      <c r="FX23" s="461"/>
      <c r="FY23" s="461"/>
      <c r="FZ23" s="461"/>
      <c r="GA23" s="461"/>
      <c r="GB23" s="461"/>
      <c r="GC23" s="461"/>
      <c r="GD23" s="469"/>
      <c r="GE23" s="469"/>
      <c r="GF23" s="469"/>
      <c r="GG23" s="469"/>
      <c r="GH23" s="469"/>
      <c r="GI23" s="469"/>
      <c r="GJ23" s="469"/>
      <c r="GK23" s="469"/>
      <c r="GL23" s="469">
        <v>102.65607725782806</v>
      </c>
      <c r="GM23" s="458"/>
      <c r="GN23" s="469"/>
      <c r="GO23" s="469"/>
      <c r="GP23" s="468"/>
    </row>
    <row r="24" spans="1:198" x14ac:dyDescent="0.25">
      <c r="A24" s="465" t="s">
        <v>1645</v>
      </c>
      <c r="B24" s="461"/>
      <c r="C24" s="461"/>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1"/>
      <c r="AG24" s="461"/>
      <c r="AH24" s="461"/>
      <c r="AI24" s="461"/>
      <c r="AJ24" s="461"/>
      <c r="AK24" s="461"/>
      <c r="AL24" s="461"/>
      <c r="AM24" s="461"/>
      <c r="AN24" s="461"/>
      <c r="AO24" s="461"/>
      <c r="AP24" s="461"/>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1"/>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v>1.8979169999999999</v>
      </c>
      <c r="CS24" s="461"/>
      <c r="CT24" s="461"/>
      <c r="CU24" s="461"/>
      <c r="CV24" s="461"/>
      <c r="CW24" s="461"/>
      <c r="CX24" s="461"/>
      <c r="CY24" s="461"/>
      <c r="CZ24" s="461"/>
      <c r="DA24" s="461"/>
      <c r="DB24" s="461"/>
      <c r="DC24" s="461"/>
      <c r="DD24" s="461"/>
      <c r="DE24" s="461"/>
      <c r="DF24" s="461"/>
      <c r="DG24" s="461"/>
      <c r="DH24" s="461"/>
      <c r="DI24" s="461"/>
      <c r="DJ24" s="461"/>
      <c r="DK24" s="461"/>
      <c r="DL24" s="461"/>
      <c r="DM24" s="461"/>
      <c r="DN24" s="461"/>
      <c r="DO24" s="461"/>
      <c r="DP24" s="461"/>
      <c r="DQ24" s="461"/>
      <c r="DR24" s="461"/>
      <c r="DS24" s="461"/>
      <c r="DT24" s="461"/>
      <c r="DU24" s="461"/>
      <c r="DV24" s="461"/>
      <c r="DW24" s="461"/>
      <c r="DX24" s="461"/>
      <c r="DY24" s="461"/>
      <c r="DZ24" s="461"/>
      <c r="EA24" s="461"/>
      <c r="EB24" s="461"/>
      <c r="EC24" s="461"/>
      <c r="ED24" s="461"/>
      <c r="EE24" s="461"/>
      <c r="EF24" s="461"/>
      <c r="EG24" s="461"/>
      <c r="EH24" s="461"/>
      <c r="EI24" s="461"/>
      <c r="EJ24" s="461"/>
      <c r="EK24" s="461"/>
      <c r="EL24" s="461"/>
      <c r="EM24" s="461"/>
      <c r="EN24" s="461"/>
      <c r="EO24" s="461"/>
      <c r="EP24" s="461"/>
      <c r="EQ24" s="461"/>
      <c r="ER24" s="461"/>
      <c r="ES24" s="461"/>
      <c r="ET24" s="461"/>
      <c r="EU24" s="461"/>
      <c r="EV24" s="461"/>
      <c r="EW24" s="461"/>
      <c r="EX24" s="461"/>
      <c r="EY24" s="461"/>
      <c r="EZ24" s="461"/>
      <c r="FA24" s="461"/>
      <c r="FB24" s="461"/>
      <c r="FC24" s="461"/>
      <c r="FD24" s="461"/>
      <c r="FE24" s="461"/>
      <c r="FF24" s="461"/>
      <c r="FG24" s="461"/>
      <c r="FH24" s="461"/>
      <c r="FI24" s="461"/>
      <c r="FJ24" s="461"/>
      <c r="FK24" s="461"/>
      <c r="FL24" s="461"/>
      <c r="FM24" s="461"/>
      <c r="FN24" s="461"/>
      <c r="FO24" s="461"/>
      <c r="FP24" s="461"/>
      <c r="FQ24" s="461"/>
      <c r="FR24" s="461"/>
      <c r="FS24" s="461"/>
      <c r="FT24" s="461"/>
      <c r="FU24" s="461"/>
      <c r="FV24" s="461"/>
      <c r="FW24" s="461"/>
      <c r="FX24" s="461"/>
      <c r="FY24" s="461"/>
      <c r="FZ24" s="461"/>
      <c r="GA24" s="461"/>
      <c r="GB24" s="461"/>
      <c r="GC24" s="461"/>
      <c r="GD24" s="469"/>
      <c r="GE24" s="469"/>
      <c r="GF24" s="469"/>
      <c r="GG24" s="469"/>
      <c r="GH24" s="469"/>
      <c r="GI24" s="469"/>
      <c r="GJ24" s="469"/>
      <c r="GK24" s="469"/>
      <c r="GL24" s="469">
        <v>1.8979169999999999</v>
      </c>
      <c r="GM24" s="458"/>
      <c r="GN24" s="469"/>
      <c r="GO24" s="469"/>
      <c r="GP24" s="468"/>
    </row>
    <row r="25" spans="1:198" x14ac:dyDescent="0.25">
      <c r="A25" s="465" t="s">
        <v>2271</v>
      </c>
      <c r="B25" s="461"/>
      <c r="C25" s="461"/>
      <c r="D25" s="461"/>
      <c r="E25" s="461"/>
      <c r="F25" s="461"/>
      <c r="G25" s="461"/>
      <c r="H25" s="461"/>
      <c r="I25" s="461"/>
      <c r="J25" s="461"/>
      <c r="K25" s="461"/>
      <c r="L25" s="461"/>
      <c r="M25" s="461"/>
      <c r="N25" s="461"/>
      <c r="O25" s="461"/>
      <c r="P25" s="461"/>
      <c r="Q25" s="461"/>
      <c r="R25" s="461"/>
      <c r="S25" s="461"/>
      <c r="T25" s="461"/>
      <c r="U25" s="461"/>
      <c r="V25" s="461"/>
      <c r="W25" s="461"/>
      <c r="X25" s="461"/>
      <c r="Y25" s="461"/>
      <c r="Z25" s="461"/>
      <c r="AA25" s="461"/>
      <c r="AB25" s="461"/>
      <c r="AC25" s="461"/>
      <c r="AD25" s="461"/>
      <c r="AE25" s="461"/>
      <c r="AF25" s="461"/>
      <c r="AG25" s="461"/>
      <c r="AH25" s="461"/>
      <c r="AI25" s="461"/>
      <c r="AJ25" s="461"/>
      <c r="AK25" s="461"/>
      <c r="AL25" s="461"/>
      <c r="AM25" s="461"/>
      <c r="AN25" s="461"/>
      <c r="AO25" s="461"/>
      <c r="AP25" s="461"/>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1"/>
      <c r="BQ25" s="461"/>
      <c r="BR25" s="461"/>
      <c r="BS25" s="461"/>
      <c r="BT25" s="461"/>
      <c r="BU25" s="461"/>
      <c r="BV25" s="461"/>
      <c r="BW25" s="461"/>
      <c r="BX25" s="461"/>
      <c r="BY25" s="461"/>
      <c r="BZ25" s="461"/>
      <c r="CA25" s="461"/>
      <c r="CB25" s="461"/>
      <c r="CC25" s="461"/>
      <c r="CD25" s="461"/>
      <c r="CE25" s="461"/>
      <c r="CF25" s="461"/>
      <c r="CG25" s="461"/>
      <c r="CH25" s="461"/>
      <c r="CI25" s="461"/>
      <c r="CJ25" s="461"/>
      <c r="CK25" s="461"/>
      <c r="CL25" s="461"/>
      <c r="CM25" s="461"/>
      <c r="CN25" s="461"/>
      <c r="CO25" s="461"/>
      <c r="CP25" s="461"/>
      <c r="CQ25" s="461"/>
      <c r="CR25" s="461"/>
      <c r="CS25" s="461">
        <v>193.30561987740955</v>
      </c>
      <c r="CT25" s="461"/>
      <c r="CU25" s="461"/>
      <c r="CV25" s="461"/>
      <c r="CW25" s="461"/>
      <c r="CX25" s="461"/>
      <c r="CY25" s="461"/>
      <c r="CZ25" s="461"/>
      <c r="DA25" s="461"/>
      <c r="DB25" s="461"/>
      <c r="DC25" s="461"/>
      <c r="DD25" s="461"/>
      <c r="DE25" s="461"/>
      <c r="DF25" s="461"/>
      <c r="DG25" s="461"/>
      <c r="DH25" s="461"/>
      <c r="DI25" s="461"/>
      <c r="DJ25" s="461"/>
      <c r="DK25" s="461"/>
      <c r="DL25" s="461"/>
      <c r="DM25" s="461"/>
      <c r="DN25" s="461"/>
      <c r="DO25" s="461"/>
      <c r="DP25" s="461"/>
      <c r="DQ25" s="461"/>
      <c r="DR25" s="461"/>
      <c r="DS25" s="461"/>
      <c r="DT25" s="461"/>
      <c r="DU25" s="461"/>
      <c r="DV25" s="461"/>
      <c r="DW25" s="461"/>
      <c r="DX25" s="461"/>
      <c r="DY25" s="461"/>
      <c r="DZ25" s="461"/>
      <c r="EA25" s="461"/>
      <c r="EB25" s="461"/>
      <c r="EC25" s="461"/>
      <c r="ED25" s="461"/>
      <c r="EE25" s="461"/>
      <c r="EF25" s="461"/>
      <c r="EG25" s="461"/>
      <c r="EH25" s="461"/>
      <c r="EI25" s="461"/>
      <c r="EJ25" s="461"/>
      <c r="EK25" s="461"/>
      <c r="EL25" s="461"/>
      <c r="EM25" s="461"/>
      <c r="EN25" s="461"/>
      <c r="EO25" s="461"/>
      <c r="EP25" s="461"/>
      <c r="EQ25" s="461"/>
      <c r="ER25" s="461"/>
      <c r="ES25" s="461"/>
      <c r="ET25" s="461"/>
      <c r="EU25" s="461"/>
      <c r="EV25" s="461"/>
      <c r="EW25" s="461"/>
      <c r="EX25" s="461"/>
      <c r="EY25" s="461"/>
      <c r="EZ25" s="461"/>
      <c r="FA25" s="461"/>
      <c r="FB25" s="461"/>
      <c r="FC25" s="461"/>
      <c r="FD25" s="461"/>
      <c r="FE25" s="461"/>
      <c r="FF25" s="461"/>
      <c r="FG25" s="461"/>
      <c r="FH25" s="461"/>
      <c r="FI25" s="461"/>
      <c r="FJ25" s="461"/>
      <c r="FK25" s="461"/>
      <c r="FL25" s="461"/>
      <c r="FM25" s="461"/>
      <c r="FN25" s="461"/>
      <c r="FO25" s="461"/>
      <c r="FP25" s="461"/>
      <c r="FQ25" s="461"/>
      <c r="FR25" s="461"/>
      <c r="FS25" s="461"/>
      <c r="FT25" s="461"/>
      <c r="FU25" s="461"/>
      <c r="FV25" s="461"/>
      <c r="FW25" s="461"/>
      <c r="FX25" s="461"/>
      <c r="FY25" s="461"/>
      <c r="FZ25" s="461"/>
      <c r="GA25" s="461"/>
      <c r="GB25" s="461"/>
      <c r="GC25" s="461"/>
      <c r="GD25" s="469"/>
      <c r="GE25" s="469"/>
      <c r="GF25" s="469"/>
      <c r="GG25" s="469"/>
      <c r="GH25" s="469"/>
      <c r="GI25" s="469"/>
      <c r="GJ25" s="469"/>
      <c r="GK25" s="469"/>
      <c r="GL25" s="469">
        <v>193.30561987740955</v>
      </c>
      <c r="GM25" s="458"/>
      <c r="GN25" s="469"/>
      <c r="GO25" s="469"/>
      <c r="GP25" s="468"/>
    </row>
    <row r="26" spans="1:198" x14ac:dyDescent="0.25">
      <c r="A26" s="465" t="s">
        <v>1648</v>
      </c>
      <c r="B26" s="461"/>
      <c r="C26" s="461"/>
      <c r="D26" s="461"/>
      <c r="E26" s="461"/>
      <c r="F26" s="461"/>
      <c r="G26" s="461"/>
      <c r="H26" s="461"/>
      <c r="I26" s="461"/>
      <c r="J26" s="461"/>
      <c r="K26" s="461"/>
      <c r="L26" s="461"/>
      <c r="M26" s="461"/>
      <c r="N26" s="461"/>
      <c r="O26" s="461"/>
      <c r="P26" s="461"/>
      <c r="Q26" s="461"/>
      <c r="R26" s="461"/>
      <c r="S26" s="461"/>
      <c r="T26" s="461"/>
      <c r="U26" s="461"/>
      <c r="V26" s="461"/>
      <c r="W26" s="461"/>
      <c r="X26" s="461"/>
      <c r="Y26" s="461"/>
      <c r="Z26" s="461"/>
      <c r="AA26" s="461"/>
      <c r="AB26" s="461"/>
      <c r="AC26" s="461"/>
      <c r="AD26" s="461"/>
      <c r="AE26" s="461"/>
      <c r="AF26" s="461"/>
      <c r="AG26" s="461"/>
      <c r="AH26" s="461"/>
      <c r="AI26" s="461"/>
      <c r="AJ26" s="461"/>
      <c r="AK26" s="461"/>
      <c r="AL26" s="461"/>
      <c r="AM26" s="461"/>
      <c r="AN26" s="461"/>
      <c r="AO26" s="461"/>
      <c r="AP26" s="461"/>
      <c r="AQ26" s="461"/>
      <c r="AR26" s="461"/>
      <c r="AS26" s="461"/>
      <c r="AT26" s="461"/>
      <c r="AU26" s="461"/>
      <c r="AV26" s="461"/>
      <c r="AW26" s="461"/>
      <c r="AX26" s="461"/>
      <c r="AY26" s="461"/>
      <c r="AZ26" s="461"/>
      <c r="BA26" s="461"/>
      <c r="BB26" s="461"/>
      <c r="BC26" s="461"/>
      <c r="BD26" s="461"/>
      <c r="BE26" s="461"/>
      <c r="BF26" s="461"/>
      <c r="BG26" s="461"/>
      <c r="BH26" s="461"/>
      <c r="BI26" s="461"/>
      <c r="BJ26" s="461"/>
      <c r="BK26" s="461"/>
      <c r="BL26" s="461"/>
      <c r="BM26" s="461"/>
      <c r="BN26" s="461"/>
      <c r="BO26" s="461"/>
      <c r="BP26" s="461"/>
      <c r="BQ26" s="461"/>
      <c r="BR26" s="461"/>
      <c r="BS26" s="461"/>
      <c r="BT26" s="461"/>
      <c r="BU26" s="461"/>
      <c r="BV26" s="461"/>
      <c r="BW26" s="461"/>
      <c r="BX26" s="461"/>
      <c r="BY26" s="461"/>
      <c r="BZ26" s="461"/>
      <c r="CA26" s="461"/>
      <c r="CB26" s="461"/>
      <c r="CC26" s="461"/>
      <c r="CD26" s="461"/>
      <c r="CE26" s="461"/>
      <c r="CF26" s="461"/>
      <c r="CG26" s="461"/>
      <c r="CH26" s="461"/>
      <c r="CI26" s="461"/>
      <c r="CJ26" s="461"/>
      <c r="CK26" s="461"/>
      <c r="CL26" s="461"/>
      <c r="CM26" s="461"/>
      <c r="CN26" s="461"/>
      <c r="CO26" s="461"/>
      <c r="CP26" s="461"/>
      <c r="CQ26" s="461"/>
      <c r="CR26" s="461"/>
      <c r="CS26" s="461"/>
      <c r="CT26" s="461">
        <v>112.06684858270907</v>
      </c>
      <c r="CU26" s="461">
        <v>36.223207026573753</v>
      </c>
      <c r="CV26" s="461"/>
      <c r="CW26" s="461"/>
      <c r="CX26" s="461"/>
      <c r="CY26" s="461"/>
      <c r="CZ26" s="461"/>
      <c r="DA26" s="461"/>
      <c r="DB26" s="461"/>
      <c r="DC26" s="461"/>
      <c r="DD26" s="461"/>
      <c r="DE26" s="461"/>
      <c r="DF26" s="461"/>
      <c r="DG26" s="461"/>
      <c r="DH26" s="461"/>
      <c r="DI26" s="461"/>
      <c r="DJ26" s="461"/>
      <c r="DK26" s="461"/>
      <c r="DL26" s="461"/>
      <c r="DM26" s="461"/>
      <c r="DN26" s="461"/>
      <c r="DO26" s="461"/>
      <c r="DP26" s="461"/>
      <c r="DQ26" s="461"/>
      <c r="DR26" s="461"/>
      <c r="DS26" s="461"/>
      <c r="DT26" s="461"/>
      <c r="DU26" s="461"/>
      <c r="DV26" s="461"/>
      <c r="DW26" s="461"/>
      <c r="DX26" s="461"/>
      <c r="DY26" s="461"/>
      <c r="DZ26" s="461"/>
      <c r="EA26" s="461"/>
      <c r="EB26" s="461"/>
      <c r="EC26" s="461"/>
      <c r="ED26" s="461"/>
      <c r="EE26" s="461"/>
      <c r="EF26" s="461"/>
      <c r="EG26" s="461"/>
      <c r="EH26" s="461"/>
      <c r="EI26" s="461"/>
      <c r="EJ26" s="461"/>
      <c r="EK26" s="461"/>
      <c r="EL26" s="461"/>
      <c r="EM26" s="461"/>
      <c r="EN26" s="461"/>
      <c r="EO26" s="461"/>
      <c r="EP26" s="461"/>
      <c r="EQ26" s="461"/>
      <c r="ER26" s="461"/>
      <c r="ES26" s="461"/>
      <c r="ET26" s="461"/>
      <c r="EU26" s="461"/>
      <c r="EV26" s="461"/>
      <c r="EW26" s="461"/>
      <c r="EX26" s="461"/>
      <c r="EY26" s="461"/>
      <c r="EZ26" s="461"/>
      <c r="FA26" s="461"/>
      <c r="FB26" s="461"/>
      <c r="FC26" s="461"/>
      <c r="FD26" s="461"/>
      <c r="FE26" s="461"/>
      <c r="FF26" s="461"/>
      <c r="FG26" s="461"/>
      <c r="FH26" s="461"/>
      <c r="FI26" s="461"/>
      <c r="FJ26" s="461"/>
      <c r="FK26" s="461"/>
      <c r="FL26" s="461"/>
      <c r="FM26" s="461"/>
      <c r="FN26" s="461"/>
      <c r="FO26" s="461"/>
      <c r="FP26" s="461"/>
      <c r="FQ26" s="461"/>
      <c r="FR26" s="461"/>
      <c r="FS26" s="461"/>
      <c r="FT26" s="461"/>
      <c r="FU26" s="461"/>
      <c r="FV26" s="461"/>
      <c r="FW26" s="461"/>
      <c r="FX26" s="461"/>
      <c r="FY26" s="461"/>
      <c r="FZ26" s="461"/>
      <c r="GA26" s="461"/>
      <c r="GB26" s="461"/>
      <c r="GC26" s="461"/>
      <c r="GD26" s="469"/>
      <c r="GE26" s="469"/>
      <c r="GF26" s="469"/>
      <c r="GG26" s="469"/>
      <c r="GH26" s="469"/>
      <c r="GI26" s="469"/>
      <c r="GJ26" s="469"/>
      <c r="GK26" s="469"/>
      <c r="GL26" s="469">
        <v>148.29005560928283</v>
      </c>
      <c r="GM26" s="458"/>
      <c r="GN26" s="469"/>
      <c r="GO26" s="469"/>
      <c r="GP26" s="468"/>
    </row>
    <row r="27" spans="1:198" x14ac:dyDescent="0.25">
      <c r="A27" s="465" t="s">
        <v>1647</v>
      </c>
      <c r="B27" s="461"/>
      <c r="C27" s="461"/>
      <c r="D27" s="461"/>
      <c r="E27" s="461"/>
      <c r="F27" s="461"/>
      <c r="G27" s="461"/>
      <c r="H27" s="461"/>
      <c r="I27" s="461"/>
      <c r="J27" s="461"/>
      <c r="K27" s="461"/>
      <c r="L27" s="461"/>
      <c r="M27" s="461"/>
      <c r="N27" s="461"/>
      <c r="O27" s="461"/>
      <c r="P27" s="461"/>
      <c r="Q27" s="461"/>
      <c r="R27" s="461"/>
      <c r="S27" s="461"/>
      <c r="T27" s="461"/>
      <c r="U27" s="461"/>
      <c r="V27" s="461"/>
      <c r="W27" s="461"/>
      <c r="X27" s="461"/>
      <c r="Y27" s="461"/>
      <c r="Z27" s="461"/>
      <c r="AA27" s="461"/>
      <c r="AB27" s="461"/>
      <c r="AC27" s="461"/>
      <c r="AD27" s="461"/>
      <c r="AE27" s="461"/>
      <c r="AF27" s="461"/>
      <c r="AG27" s="461"/>
      <c r="AH27" s="461"/>
      <c r="AI27" s="461"/>
      <c r="AJ27" s="461"/>
      <c r="AK27" s="461"/>
      <c r="AL27" s="461"/>
      <c r="AM27" s="461"/>
      <c r="AN27" s="461"/>
      <c r="AO27" s="461"/>
      <c r="AP27" s="461"/>
      <c r="AQ27" s="461"/>
      <c r="AR27" s="461"/>
      <c r="AS27" s="461"/>
      <c r="AT27" s="461"/>
      <c r="AU27" s="461"/>
      <c r="AV27" s="461"/>
      <c r="AW27" s="461"/>
      <c r="AX27" s="461"/>
      <c r="AY27" s="461"/>
      <c r="AZ27" s="461"/>
      <c r="BA27" s="461"/>
      <c r="BB27" s="461"/>
      <c r="BC27" s="461"/>
      <c r="BD27" s="461"/>
      <c r="BE27" s="461"/>
      <c r="BF27" s="461"/>
      <c r="BG27" s="461"/>
      <c r="BH27" s="461"/>
      <c r="BI27" s="461"/>
      <c r="BJ27" s="461"/>
      <c r="BK27" s="461"/>
      <c r="BL27" s="461"/>
      <c r="BM27" s="461"/>
      <c r="BN27" s="461"/>
      <c r="BO27" s="461"/>
      <c r="BP27" s="461"/>
      <c r="BQ27" s="461"/>
      <c r="BR27" s="461"/>
      <c r="BS27" s="461"/>
      <c r="BT27" s="461"/>
      <c r="BU27" s="461"/>
      <c r="BV27" s="461"/>
      <c r="BW27" s="461"/>
      <c r="BX27" s="461"/>
      <c r="BY27" s="461"/>
      <c r="BZ27" s="461"/>
      <c r="CA27" s="461"/>
      <c r="CB27" s="461"/>
      <c r="CC27" s="461"/>
      <c r="CD27" s="461"/>
      <c r="CE27" s="461"/>
      <c r="CF27" s="461"/>
      <c r="CG27" s="461"/>
      <c r="CH27" s="461"/>
      <c r="CI27" s="461"/>
      <c r="CJ27" s="461"/>
      <c r="CK27" s="461"/>
      <c r="CL27" s="461"/>
      <c r="CM27" s="461"/>
      <c r="CN27" s="461"/>
      <c r="CO27" s="461"/>
      <c r="CP27" s="461"/>
      <c r="CQ27" s="461"/>
      <c r="CR27" s="461"/>
      <c r="CS27" s="461"/>
      <c r="CT27" s="461">
        <v>2.3543651787029858</v>
      </c>
      <c r="CU27" s="461">
        <v>112.30760270715577</v>
      </c>
      <c r="CV27" s="461"/>
      <c r="CW27" s="461"/>
      <c r="CX27" s="461"/>
      <c r="CY27" s="461"/>
      <c r="CZ27" s="461"/>
      <c r="DA27" s="461"/>
      <c r="DB27" s="461"/>
      <c r="DC27" s="461"/>
      <c r="DD27" s="461"/>
      <c r="DE27" s="461"/>
      <c r="DF27" s="461"/>
      <c r="DG27" s="461"/>
      <c r="DH27" s="461"/>
      <c r="DI27" s="461"/>
      <c r="DJ27" s="461"/>
      <c r="DK27" s="461"/>
      <c r="DL27" s="461"/>
      <c r="DM27" s="461"/>
      <c r="DN27" s="461"/>
      <c r="DO27" s="461"/>
      <c r="DP27" s="461"/>
      <c r="DQ27" s="461"/>
      <c r="DR27" s="461"/>
      <c r="DS27" s="461"/>
      <c r="DT27" s="461"/>
      <c r="DU27" s="461"/>
      <c r="DV27" s="461"/>
      <c r="DW27" s="461"/>
      <c r="DX27" s="461"/>
      <c r="DY27" s="461"/>
      <c r="DZ27" s="461"/>
      <c r="EA27" s="461"/>
      <c r="EB27" s="461"/>
      <c r="EC27" s="461"/>
      <c r="ED27" s="461"/>
      <c r="EE27" s="461"/>
      <c r="EF27" s="461"/>
      <c r="EG27" s="461"/>
      <c r="EH27" s="461"/>
      <c r="EI27" s="461"/>
      <c r="EJ27" s="461"/>
      <c r="EK27" s="461"/>
      <c r="EL27" s="461"/>
      <c r="EM27" s="461"/>
      <c r="EN27" s="461"/>
      <c r="EO27" s="461"/>
      <c r="EP27" s="461"/>
      <c r="EQ27" s="461"/>
      <c r="ER27" s="461"/>
      <c r="ES27" s="461"/>
      <c r="ET27" s="461"/>
      <c r="EU27" s="461"/>
      <c r="EV27" s="461"/>
      <c r="EW27" s="461"/>
      <c r="EX27" s="461"/>
      <c r="EY27" s="461"/>
      <c r="EZ27" s="461"/>
      <c r="FA27" s="461"/>
      <c r="FB27" s="461"/>
      <c r="FC27" s="461"/>
      <c r="FD27" s="461"/>
      <c r="FE27" s="461"/>
      <c r="FF27" s="461"/>
      <c r="FG27" s="461"/>
      <c r="FH27" s="461"/>
      <c r="FI27" s="461"/>
      <c r="FJ27" s="461"/>
      <c r="FK27" s="461"/>
      <c r="FL27" s="461"/>
      <c r="FM27" s="461"/>
      <c r="FN27" s="461"/>
      <c r="FO27" s="461"/>
      <c r="FP27" s="461"/>
      <c r="FQ27" s="461"/>
      <c r="FR27" s="461"/>
      <c r="FS27" s="461"/>
      <c r="FT27" s="461"/>
      <c r="FU27" s="461"/>
      <c r="FV27" s="461"/>
      <c r="FW27" s="461"/>
      <c r="FX27" s="461"/>
      <c r="FY27" s="461"/>
      <c r="FZ27" s="461"/>
      <c r="GA27" s="461"/>
      <c r="GB27" s="461"/>
      <c r="GC27" s="461"/>
      <c r="GD27" s="469"/>
      <c r="GE27" s="469"/>
      <c r="GF27" s="469"/>
      <c r="GG27" s="469"/>
      <c r="GH27" s="469"/>
      <c r="GI27" s="469"/>
      <c r="GJ27" s="469"/>
      <c r="GK27" s="469"/>
      <c r="GL27" s="469">
        <v>114.66196788585876</v>
      </c>
      <c r="GM27" s="458"/>
      <c r="GN27" s="469"/>
      <c r="GO27" s="469"/>
      <c r="GP27" s="468"/>
    </row>
    <row r="28" spans="1:198" x14ac:dyDescent="0.25">
      <c r="A28" s="465" t="s">
        <v>2272</v>
      </c>
      <c r="B28" s="461"/>
      <c r="C28" s="461"/>
      <c r="D28" s="461"/>
      <c r="E28" s="461"/>
      <c r="F28" s="461"/>
      <c r="G28" s="461"/>
      <c r="H28" s="461"/>
      <c r="I28" s="461"/>
      <c r="J28" s="461"/>
      <c r="K28" s="461"/>
      <c r="L28" s="461"/>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1"/>
      <c r="AJ28" s="461"/>
      <c r="AK28" s="461"/>
      <c r="AL28" s="461"/>
      <c r="AM28" s="461"/>
      <c r="AN28" s="461"/>
      <c r="AO28" s="461"/>
      <c r="AP28" s="461"/>
      <c r="AQ28" s="461"/>
      <c r="AR28" s="461"/>
      <c r="AS28" s="461"/>
      <c r="AT28" s="461"/>
      <c r="AU28" s="461"/>
      <c r="AV28" s="461"/>
      <c r="AW28" s="461"/>
      <c r="AX28" s="461"/>
      <c r="AY28" s="461"/>
      <c r="AZ28" s="461"/>
      <c r="BA28" s="461"/>
      <c r="BB28" s="461"/>
      <c r="BC28" s="461"/>
      <c r="BD28" s="461"/>
      <c r="BE28" s="461"/>
      <c r="BF28" s="461"/>
      <c r="BG28" s="461"/>
      <c r="BH28" s="461"/>
      <c r="BI28" s="461"/>
      <c r="BJ28" s="461"/>
      <c r="BK28" s="461"/>
      <c r="BL28" s="461"/>
      <c r="BM28" s="461"/>
      <c r="BN28" s="461"/>
      <c r="BO28" s="461"/>
      <c r="BP28" s="461"/>
      <c r="BQ28" s="461"/>
      <c r="BR28" s="461"/>
      <c r="BS28" s="461"/>
      <c r="BT28" s="461"/>
      <c r="BU28" s="461"/>
      <c r="BV28" s="461"/>
      <c r="BW28" s="461"/>
      <c r="BX28" s="461"/>
      <c r="BY28" s="461"/>
      <c r="BZ28" s="461"/>
      <c r="CA28" s="461"/>
      <c r="CB28" s="461"/>
      <c r="CC28" s="461"/>
      <c r="CD28" s="461"/>
      <c r="CE28" s="461"/>
      <c r="CF28" s="461"/>
      <c r="CG28" s="461"/>
      <c r="CH28" s="461"/>
      <c r="CI28" s="461"/>
      <c r="CJ28" s="461"/>
      <c r="CK28" s="461"/>
      <c r="CL28" s="461"/>
      <c r="CM28" s="461"/>
      <c r="CN28" s="461"/>
      <c r="CO28" s="461"/>
      <c r="CP28" s="461"/>
      <c r="CQ28" s="461"/>
      <c r="CR28" s="461"/>
      <c r="CS28" s="461"/>
      <c r="CT28" s="461"/>
      <c r="CU28" s="461"/>
      <c r="CV28" s="461">
        <v>60.640683595966678</v>
      </c>
      <c r="CW28" s="461"/>
      <c r="CX28" s="461"/>
      <c r="CY28" s="461"/>
      <c r="CZ28" s="461"/>
      <c r="DA28" s="461"/>
      <c r="DB28" s="461"/>
      <c r="DC28" s="461"/>
      <c r="DD28" s="461"/>
      <c r="DE28" s="461"/>
      <c r="DF28" s="461"/>
      <c r="DG28" s="461"/>
      <c r="DH28" s="461"/>
      <c r="DI28" s="461"/>
      <c r="DJ28" s="461"/>
      <c r="DK28" s="461"/>
      <c r="DL28" s="461"/>
      <c r="DM28" s="461"/>
      <c r="DN28" s="461"/>
      <c r="DO28" s="461"/>
      <c r="DP28" s="461"/>
      <c r="DQ28" s="461"/>
      <c r="DR28" s="461"/>
      <c r="DS28" s="461"/>
      <c r="DT28" s="461"/>
      <c r="DU28" s="461"/>
      <c r="DV28" s="461"/>
      <c r="DW28" s="461"/>
      <c r="DX28" s="461"/>
      <c r="DY28" s="461"/>
      <c r="DZ28" s="461"/>
      <c r="EA28" s="461"/>
      <c r="EB28" s="461"/>
      <c r="EC28" s="461"/>
      <c r="ED28" s="461"/>
      <c r="EE28" s="461"/>
      <c r="EF28" s="461"/>
      <c r="EG28" s="461"/>
      <c r="EH28" s="461"/>
      <c r="EI28" s="461"/>
      <c r="EJ28" s="461"/>
      <c r="EK28" s="461"/>
      <c r="EL28" s="461"/>
      <c r="EM28" s="461"/>
      <c r="EN28" s="461"/>
      <c r="EO28" s="461"/>
      <c r="EP28" s="461"/>
      <c r="EQ28" s="461"/>
      <c r="ER28" s="461"/>
      <c r="ES28" s="461"/>
      <c r="ET28" s="461"/>
      <c r="EU28" s="461"/>
      <c r="EV28" s="461"/>
      <c r="EW28" s="461"/>
      <c r="EX28" s="461"/>
      <c r="EY28" s="461"/>
      <c r="EZ28" s="461"/>
      <c r="FA28" s="461"/>
      <c r="FB28" s="461"/>
      <c r="FC28" s="461"/>
      <c r="FD28" s="461"/>
      <c r="FE28" s="461"/>
      <c r="FF28" s="461"/>
      <c r="FG28" s="461"/>
      <c r="FH28" s="461"/>
      <c r="FI28" s="461"/>
      <c r="FJ28" s="461"/>
      <c r="FK28" s="461"/>
      <c r="FL28" s="461"/>
      <c r="FM28" s="461"/>
      <c r="FN28" s="461"/>
      <c r="FO28" s="461"/>
      <c r="FP28" s="461"/>
      <c r="FQ28" s="461"/>
      <c r="FR28" s="461"/>
      <c r="FS28" s="461"/>
      <c r="FT28" s="461"/>
      <c r="FU28" s="461"/>
      <c r="FV28" s="461"/>
      <c r="FW28" s="461"/>
      <c r="FX28" s="461"/>
      <c r="FY28" s="461"/>
      <c r="FZ28" s="461"/>
      <c r="GA28" s="461"/>
      <c r="GB28" s="461"/>
      <c r="GC28" s="461"/>
      <c r="GD28" s="469"/>
      <c r="GE28" s="469"/>
      <c r="GF28" s="469"/>
      <c r="GG28" s="469"/>
      <c r="GH28" s="469"/>
      <c r="GI28" s="469"/>
      <c r="GJ28" s="469"/>
      <c r="GK28" s="469"/>
      <c r="GL28" s="469">
        <v>60.640683595966678</v>
      </c>
      <c r="GM28" s="458"/>
      <c r="GN28" s="469"/>
      <c r="GO28" s="469"/>
      <c r="GP28" s="468"/>
    </row>
    <row r="29" spans="1:198" x14ac:dyDescent="0.25">
      <c r="A29" s="465" t="s">
        <v>2273</v>
      </c>
      <c r="B29" s="461"/>
      <c r="C29" s="461"/>
      <c r="D29" s="461"/>
      <c r="E29" s="461"/>
      <c r="F29" s="461"/>
      <c r="G29" s="461"/>
      <c r="H29" s="461"/>
      <c r="I29" s="461"/>
      <c r="J29" s="461"/>
      <c r="K29" s="461"/>
      <c r="L29" s="461"/>
      <c r="M29" s="461"/>
      <c r="N29" s="461"/>
      <c r="O29" s="461"/>
      <c r="P29" s="461"/>
      <c r="Q29" s="461"/>
      <c r="R29" s="461"/>
      <c r="S29" s="461"/>
      <c r="T29" s="461"/>
      <c r="U29" s="461"/>
      <c r="V29" s="461"/>
      <c r="W29" s="461"/>
      <c r="X29" s="461"/>
      <c r="Y29" s="461"/>
      <c r="Z29" s="461"/>
      <c r="AA29" s="461"/>
      <c r="AB29" s="461"/>
      <c r="AC29" s="461"/>
      <c r="AD29" s="461"/>
      <c r="AE29" s="461"/>
      <c r="AF29" s="461"/>
      <c r="AG29" s="461"/>
      <c r="AH29" s="461"/>
      <c r="AI29" s="461"/>
      <c r="AJ29" s="461"/>
      <c r="AK29" s="461"/>
      <c r="AL29" s="461"/>
      <c r="AM29" s="461"/>
      <c r="AN29" s="461"/>
      <c r="AO29" s="461"/>
      <c r="AP29" s="461"/>
      <c r="AQ29" s="461"/>
      <c r="AR29" s="461"/>
      <c r="AS29" s="461"/>
      <c r="AT29" s="461"/>
      <c r="AU29" s="461"/>
      <c r="AV29" s="461"/>
      <c r="AW29" s="461"/>
      <c r="AX29" s="461"/>
      <c r="AY29" s="461"/>
      <c r="AZ29" s="461"/>
      <c r="BA29" s="461"/>
      <c r="BB29" s="461"/>
      <c r="BC29" s="461"/>
      <c r="BD29" s="461"/>
      <c r="BE29" s="461"/>
      <c r="BF29" s="461"/>
      <c r="BG29" s="461"/>
      <c r="BH29" s="461"/>
      <c r="BI29" s="461"/>
      <c r="BJ29" s="461"/>
      <c r="BK29" s="461"/>
      <c r="BL29" s="461"/>
      <c r="BM29" s="461"/>
      <c r="BN29" s="461"/>
      <c r="BO29" s="461"/>
      <c r="BP29" s="461"/>
      <c r="BQ29" s="461"/>
      <c r="BR29" s="461"/>
      <c r="BS29" s="461"/>
      <c r="BT29" s="461"/>
      <c r="BU29" s="461"/>
      <c r="BV29" s="461"/>
      <c r="BW29" s="461"/>
      <c r="BX29" s="461"/>
      <c r="BY29" s="461"/>
      <c r="BZ29" s="461"/>
      <c r="CA29" s="461"/>
      <c r="CB29" s="461"/>
      <c r="CC29" s="461"/>
      <c r="CD29" s="461"/>
      <c r="CE29" s="461"/>
      <c r="CF29" s="461"/>
      <c r="CG29" s="461"/>
      <c r="CH29" s="461"/>
      <c r="CI29" s="461"/>
      <c r="CJ29" s="461"/>
      <c r="CK29" s="461"/>
      <c r="CL29" s="461"/>
      <c r="CM29" s="461"/>
      <c r="CN29" s="461"/>
      <c r="CO29" s="461"/>
      <c r="CP29" s="461"/>
      <c r="CQ29" s="461"/>
      <c r="CR29" s="461"/>
      <c r="CS29" s="461"/>
      <c r="CT29" s="461"/>
      <c r="CU29" s="461"/>
      <c r="CV29" s="461"/>
      <c r="CW29" s="461">
        <v>23.745827500277027</v>
      </c>
      <c r="CX29" s="461"/>
      <c r="CY29" s="461"/>
      <c r="CZ29" s="461"/>
      <c r="DA29" s="461"/>
      <c r="DB29" s="461"/>
      <c r="DC29" s="461"/>
      <c r="DD29" s="461"/>
      <c r="DE29" s="461"/>
      <c r="DF29" s="461"/>
      <c r="DG29" s="461"/>
      <c r="DH29" s="461"/>
      <c r="DI29" s="461"/>
      <c r="DJ29" s="461"/>
      <c r="DK29" s="461"/>
      <c r="DL29" s="461"/>
      <c r="DM29" s="461"/>
      <c r="DN29" s="461"/>
      <c r="DO29" s="461"/>
      <c r="DP29" s="461"/>
      <c r="DQ29" s="461"/>
      <c r="DR29" s="461"/>
      <c r="DS29" s="461"/>
      <c r="DT29" s="461"/>
      <c r="DU29" s="461"/>
      <c r="DV29" s="461"/>
      <c r="DW29" s="461"/>
      <c r="DX29" s="461"/>
      <c r="DY29" s="461"/>
      <c r="DZ29" s="461"/>
      <c r="EA29" s="461"/>
      <c r="EB29" s="461"/>
      <c r="EC29" s="461"/>
      <c r="ED29" s="461"/>
      <c r="EE29" s="461"/>
      <c r="EF29" s="461"/>
      <c r="EG29" s="461"/>
      <c r="EH29" s="461"/>
      <c r="EI29" s="461"/>
      <c r="EJ29" s="461"/>
      <c r="EK29" s="461"/>
      <c r="EL29" s="461"/>
      <c r="EM29" s="461"/>
      <c r="EN29" s="461"/>
      <c r="EO29" s="461"/>
      <c r="EP29" s="461"/>
      <c r="EQ29" s="461"/>
      <c r="ER29" s="461"/>
      <c r="ES29" s="461"/>
      <c r="ET29" s="461"/>
      <c r="EU29" s="461"/>
      <c r="EV29" s="461"/>
      <c r="EW29" s="461"/>
      <c r="EX29" s="461"/>
      <c r="EY29" s="461"/>
      <c r="EZ29" s="461"/>
      <c r="FA29" s="461"/>
      <c r="FB29" s="461"/>
      <c r="FC29" s="461"/>
      <c r="FD29" s="461"/>
      <c r="FE29" s="461"/>
      <c r="FF29" s="461"/>
      <c r="FG29" s="461"/>
      <c r="FH29" s="461"/>
      <c r="FI29" s="461"/>
      <c r="FJ29" s="461"/>
      <c r="FK29" s="461"/>
      <c r="FL29" s="461"/>
      <c r="FM29" s="461"/>
      <c r="FN29" s="461"/>
      <c r="FO29" s="461"/>
      <c r="FP29" s="461"/>
      <c r="FQ29" s="461"/>
      <c r="FR29" s="461"/>
      <c r="FS29" s="461"/>
      <c r="FT29" s="461"/>
      <c r="FU29" s="461"/>
      <c r="FV29" s="461"/>
      <c r="FW29" s="461"/>
      <c r="FX29" s="461"/>
      <c r="FY29" s="461"/>
      <c r="FZ29" s="461"/>
      <c r="GA29" s="461"/>
      <c r="GB29" s="461"/>
      <c r="GC29" s="461"/>
      <c r="GD29" s="469"/>
      <c r="GE29" s="469"/>
      <c r="GF29" s="469"/>
      <c r="GG29" s="469"/>
      <c r="GH29" s="469"/>
      <c r="GI29" s="469"/>
      <c r="GJ29" s="469"/>
      <c r="GK29" s="469"/>
      <c r="GL29" s="469">
        <v>23.745827500277027</v>
      </c>
      <c r="GM29" s="458"/>
      <c r="GN29" s="469"/>
      <c r="GO29" s="469"/>
      <c r="GP29" s="468"/>
    </row>
    <row r="30" spans="1:198" x14ac:dyDescent="0.25">
      <c r="A30" s="465" t="s">
        <v>2274</v>
      </c>
      <c r="B30" s="461"/>
      <c r="C30" s="461"/>
      <c r="D30" s="461"/>
      <c r="E30" s="461"/>
      <c r="F30" s="461"/>
      <c r="G30" s="461"/>
      <c r="H30" s="461"/>
      <c r="I30" s="461"/>
      <c r="J30" s="461"/>
      <c r="K30" s="461"/>
      <c r="L30" s="461"/>
      <c r="M30" s="461"/>
      <c r="N30" s="461"/>
      <c r="O30" s="461"/>
      <c r="P30" s="461"/>
      <c r="Q30" s="461"/>
      <c r="R30" s="461"/>
      <c r="S30" s="461"/>
      <c r="T30" s="461"/>
      <c r="U30" s="461"/>
      <c r="V30" s="461"/>
      <c r="W30" s="461"/>
      <c r="X30" s="461"/>
      <c r="Y30" s="461"/>
      <c r="Z30" s="461"/>
      <c r="AA30" s="461"/>
      <c r="AB30" s="461"/>
      <c r="AC30" s="461"/>
      <c r="AD30" s="461"/>
      <c r="AE30" s="461"/>
      <c r="AF30" s="461"/>
      <c r="AG30" s="461"/>
      <c r="AH30" s="461"/>
      <c r="AI30" s="461"/>
      <c r="AJ30" s="461"/>
      <c r="AK30" s="461"/>
      <c r="AL30" s="461"/>
      <c r="AM30" s="461"/>
      <c r="AN30" s="461"/>
      <c r="AO30" s="461"/>
      <c r="AP30" s="461"/>
      <c r="AQ30" s="461"/>
      <c r="AR30" s="461"/>
      <c r="AS30" s="461"/>
      <c r="AT30" s="461"/>
      <c r="AU30" s="461"/>
      <c r="AV30" s="461"/>
      <c r="AW30" s="461"/>
      <c r="AX30" s="461"/>
      <c r="AY30" s="461"/>
      <c r="AZ30" s="461"/>
      <c r="BA30" s="461"/>
      <c r="BB30" s="461"/>
      <c r="BC30" s="461"/>
      <c r="BD30" s="461"/>
      <c r="BE30" s="461"/>
      <c r="BF30" s="461"/>
      <c r="BG30" s="461"/>
      <c r="BH30" s="461"/>
      <c r="BI30" s="461"/>
      <c r="BJ30" s="461"/>
      <c r="BK30" s="461"/>
      <c r="BL30" s="461"/>
      <c r="BM30" s="461"/>
      <c r="BN30" s="461"/>
      <c r="BO30" s="461"/>
      <c r="BP30" s="461"/>
      <c r="BQ30" s="461"/>
      <c r="BR30" s="461"/>
      <c r="BS30" s="461"/>
      <c r="BT30" s="461"/>
      <c r="BU30" s="461"/>
      <c r="BV30" s="461"/>
      <c r="BW30" s="461"/>
      <c r="BX30" s="461"/>
      <c r="BY30" s="461"/>
      <c r="BZ30" s="461"/>
      <c r="CA30" s="461"/>
      <c r="CB30" s="461"/>
      <c r="CC30" s="461"/>
      <c r="CD30" s="461"/>
      <c r="CE30" s="461"/>
      <c r="CF30" s="461"/>
      <c r="CG30" s="461"/>
      <c r="CH30" s="461"/>
      <c r="CI30" s="461"/>
      <c r="CJ30" s="461"/>
      <c r="CK30" s="461"/>
      <c r="CL30" s="461"/>
      <c r="CM30" s="461"/>
      <c r="CN30" s="461"/>
      <c r="CO30" s="461"/>
      <c r="CP30" s="461"/>
      <c r="CQ30" s="461"/>
      <c r="CR30" s="461"/>
      <c r="CS30" s="461"/>
      <c r="CT30" s="461"/>
      <c r="CU30" s="461"/>
      <c r="CV30" s="461"/>
      <c r="CW30" s="461"/>
      <c r="CX30" s="461">
        <v>42.074595262635988</v>
      </c>
      <c r="CY30" s="461"/>
      <c r="CZ30" s="461"/>
      <c r="DA30" s="461"/>
      <c r="DB30" s="461"/>
      <c r="DC30" s="461"/>
      <c r="DD30" s="461"/>
      <c r="DE30" s="461"/>
      <c r="DF30" s="461"/>
      <c r="DG30" s="461"/>
      <c r="DH30" s="461"/>
      <c r="DI30" s="461"/>
      <c r="DJ30" s="461"/>
      <c r="DK30" s="461"/>
      <c r="DL30" s="461"/>
      <c r="DM30" s="461"/>
      <c r="DN30" s="461"/>
      <c r="DO30" s="461"/>
      <c r="DP30" s="461"/>
      <c r="DQ30" s="461"/>
      <c r="DR30" s="461"/>
      <c r="DS30" s="461"/>
      <c r="DT30" s="461"/>
      <c r="DU30" s="461"/>
      <c r="DV30" s="461"/>
      <c r="DW30" s="461"/>
      <c r="DX30" s="461"/>
      <c r="DY30" s="461"/>
      <c r="DZ30" s="461"/>
      <c r="EA30" s="461"/>
      <c r="EB30" s="461"/>
      <c r="EC30" s="461"/>
      <c r="ED30" s="461"/>
      <c r="EE30" s="461"/>
      <c r="EF30" s="461"/>
      <c r="EG30" s="461"/>
      <c r="EH30" s="461"/>
      <c r="EI30" s="461"/>
      <c r="EJ30" s="461"/>
      <c r="EK30" s="461"/>
      <c r="EL30" s="461"/>
      <c r="EM30" s="461"/>
      <c r="EN30" s="461"/>
      <c r="EO30" s="461"/>
      <c r="EP30" s="461"/>
      <c r="EQ30" s="461"/>
      <c r="ER30" s="461"/>
      <c r="ES30" s="461"/>
      <c r="ET30" s="461"/>
      <c r="EU30" s="461"/>
      <c r="EV30" s="461"/>
      <c r="EW30" s="461"/>
      <c r="EX30" s="461"/>
      <c r="EY30" s="461"/>
      <c r="EZ30" s="461"/>
      <c r="FA30" s="461"/>
      <c r="FB30" s="461"/>
      <c r="FC30" s="461"/>
      <c r="FD30" s="461"/>
      <c r="FE30" s="461"/>
      <c r="FF30" s="461"/>
      <c r="FG30" s="461"/>
      <c r="FH30" s="461"/>
      <c r="FI30" s="461"/>
      <c r="FJ30" s="461"/>
      <c r="FK30" s="461"/>
      <c r="FL30" s="461"/>
      <c r="FM30" s="461"/>
      <c r="FN30" s="461"/>
      <c r="FO30" s="461"/>
      <c r="FP30" s="461"/>
      <c r="FQ30" s="461"/>
      <c r="FR30" s="461"/>
      <c r="FS30" s="461"/>
      <c r="FT30" s="461"/>
      <c r="FU30" s="461"/>
      <c r="FV30" s="461"/>
      <c r="FW30" s="461"/>
      <c r="FX30" s="461"/>
      <c r="FY30" s="461"/>
      <c r="FZ30" s="461"/>
      <c r="GA30" s="461"/>
      <c r="GB30" s="461"/>
      <c r="GC30" s="461"/>
      <c r="GD30" s="469"/>
      <c r="GE30" s="469"/>
      <c r="GF30" s="469"/>
      <c r="GG30" s="469"/>
      <c r="GH30" s="469"/>
      <c r="GI30" s="469"/>
      <c r="GJ30" s="469"/>
      <c r="GK30" s="469"/>
      <c r="GL30" s="469">
        <v>42.074595262635988</v>
      </c>
      <c r="GM30" s="458"/>
      <c r="GN30" s="469"/>
      <c r="GO30" s="469"/>
      <c r="GP30" s="468"/>
    </row>
    <row r="31" spans="1:198" x14ac:dyDescent="0.25">
      <c r="A31" s="465" t="s">
        <v>2275</v>
      </c>
      <c r="B31" s="461"/>
      <c r="C31" s="461"/>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1"/>
      <c r="AJ31" s="461"/>
      <c r="AK31" s="461"/>
      <c r="AL31" s="461"/>
      <c r="AM31" s="461"/>
      <c r="AN31" s="461"/>
      <c r="AO31" s="461"/>
      <c r="AP31" s="461"/>
      <c r="AQ31" s="461"/>
      <c r="AR31" s="461"/>
      <c r="AS31" s="461"/>
      <c r="AT31" s="461"/>
      <c r="AU31" s="461"/>
      <c r="AV31" s="461"/>
      <c r="AW31" s="461"/>
      <c r="AX31" s="461"/>
      <c r="AY31" s="461"/>
      <c r="AZ31" s="461"/>
      <c r="BA31" s="461"/>
      <c r="BB31" s="461"/>
      <c r="BC31" s="461"/>
      <c r="BD31" s="461"/>
      <c r="BE31" s="461"/>
      <c r="BF31" s="461"/>
      <c r="BG31" s="461"/>
      <c r="BH31" s="461"/>
      <c r="BI31" s="461"/>
      <c r="BJ31" s="461"/>
      <c r="BK31" s="461"/>
      <c r="BL31" s="461"/>
      <c r="BM31" s="461"/>
      <c r="BN31" s="461"/>
      <c r="BO31" s="461"/>
      <c r="BP31" s="461"/>
      <c r="BQ31" s="461"/>
      <c r="BR31" s="461"/>
      <c r="BS31" s="461"/>
      <c r="BT31" s="461"/>
      <c r="BU31" s="461"/>
      <c r="BV31" s="461"/>
      <c r="BW31" s="461"/>
      <c r="BX31" s="461"/>
      <c r="BY31" s="461"/>
      <c r="BZ31" s="461"/>
      <c r="CA31" s="461"/>
      <c r="CB31" s="461"/>
      <c r="CC31" s="461"/>
      <c r="CD31" s="461"/>
      <c r="CE31" s="461"/>
      <c r="CF31" s="461"/>
      <c r="CG31" s="461"/>
      <c r="CH31" s="461"/>
      <c r="CI31" s="461"/>
      <c r="CJ31" s="461"/>
      <c r="CK31" s="461"/>
      <c r="CL31" s="461"/>
      <c r="CM31" s="461"/>
      <c r="CN31" s="461"/>
      <c r="CO31" s="461"/>
      <c r="CP31" s="461"/>
      <c r="CQ31" s="461"/>
      <c r="CR31" s="461"/>
      <c r="CS31" s="461"/>
      <c r="CT31" s="461"/>
      <c r="CU31" s="461"/>
      <c r="CV31" s="461"/>
      <c r="CW31" s="461"/>
      <c r="CX31" s="461"/>
      <c r="CY31" s="461">
        <v>9.8993945780822479</v>
      </c>
      <c r="CZ31" s="461"/>
      <c r="DA31" s="461"/>
      <c r="DB31" s="461"/>
      <c r="DC31" s="461"/>
      <c r="DD31" s="461"/>
      <c r="DE31" s="461"/>
      <c r="DF31" s="461"/>
      <c r="DG31" s="461"/>
      <c r="DH31" s="461"/>
      <c r="DI31" s="461"/>
      <c r="DJ31" s="461"/>
      <c r="DK31" s="461"/>
      <c r="DL31" s="461"/>
      <c r="DM31" s="461"/>
      <c r="DN31" s="461"/>
      <c r="DO31" s="461"/>
      <c r="DP31" s="461"/>
      <c r="DQ31" s="461"/>
      <c r="DR31" s="461"/>
      <c r="DS31" s="461"/>
      <c r="DT31" s="461"/>
      <c r="DU31" s="461"/>
      <c r="DV31" s="461"/>
      <c r="DW31" s="461"/>
      <c r="DX31" s="461"/>
      <c r="DY31" s="461"/>
      <c r="DZ31" s="461"/>
      <c r="EA31" s="461"/>
      <c r="EB31" s="461"/>
      <c r="EC31" s="461"/>
      <c r="ED31" s="461"/>
      <c r="EE31" s="461"/>
      <c r="EF31" s="461"/>
      <c r="EG31" s="461"/>
      <c r="EH31" s="461"/>
      <c r="EI31" s="461"/>
      <c r="EJ31" s="461"/>
      <c r="EK31" s="461"/>
      <c r="EL31" s="461"/>
      <c r="EM31" s="461"/>
      <c r="EN31" s="461"/>
      <c r="EO31" s="461"/>
      <c r="EP31" s="461"/>
      <c r="EQ31" s="461"/>
      <c r="ER31" s="461"/>
      <c r="ES31" s="461"/>
      <c r="ET31" s="461"/>
      <c r="EU31" s="461"/>
      <c r="EV31" s="461"/>
      <c r="EW31" s="461"/>
      <c r="EX31" s="461"/>
      <c r="EY31" s="461"/>
      <c r="EZ31" s="461"/>
      <c r="FA31" s="461"/>
      <c r="FB31" s="461"/>
      <c r="FC31" s="461"/>
      <c r="FD31" s="461"/>
      <c r="FE31" s="461"/>
      <c r="FF31" s="461"/>
      <c r="FG31" s="461"/>
      <c r="FH31" s="461"/>
      <c r="FI31" s="461"/>
      <c r="FJ31" s="461"/>
      <c r="FK31" s="461"/>
      <c r="FL31" s="461"/>
      <c r="FM31" s="461"/>
      <c r="FN31" s="461"/>
      <c r="FO31" s="461"/>
      <c r="FP31" s="461"/>
      <c r="FQ31" s="461"/>
      <c r="FR31" s="461"/>
      <c r="FS31" s="461"/>
      <c r="FT31" s="461"/>
      <c r="FU31" s="461"/>
      <c r="FV31" s="461"/>
      <c r="FW31" s="461"/>
      <c r="FX31" s="461"/>
      <c r="FY31" s="461"/>
      <c r="FZ31" s="461"/>
      <c r="GA31" s="461"/>
      <c r="GB31" s="461"/>
      <c r="GC31" s="461"/>
      <c r="GD31" s="469"/>
      <c r="GE31" s="469"/>
      <c r="GF31" s="469"/>
      <c r="GG31" s="469"/>
      <c r="GH31" s="469"/>
      <c r="GI31" s="469"/>
      <c r="GJ31" s="469"/>
      <c r="GK31" s="469"/>
      <c r="GL31" s="469">
        <v>9.8993945780822479</v>
      </c>
      <c r="GM31" s="458"/>
      <c r="GN31" s="469"/>
      <c r="GO31" s="469"/>
      <c r="GP31" s="468"/>
    </row>
    <row r="32" spans="1:198" x14ac:dyDescent="0.25">
      <c r="A32" s="465" t="s">
        <v>2276</v>
      </c>
      <c r="B32" s="461"/>
      <c r="C32" s="461"/>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c r="AD32" s="461"/>
      <c r="AE32" s="461"/>
      <c r="AF32" s="461"/>
      <c r="AG32" s="461"/>
      <c r="AH32" s="461"/>
      <c r="AI32" s="461"/>
      <c r="AJ32" s="461"/>
      <c r="AK32" s="461"/>
      <c r="AL32" s="461"/>
      <c r="AM32" s="461"/>
      <c r="AN32" s="461"/>
      <c r="AO32" s="461"/>
      <c r="AP32" s="461"/>
      <c r="AQ32" s="461"/>
      <c r="AR32" s="461"/>
      <c r="AS32" s="461"/>
      <c r="AT32" s="461"/>
      <c r="AU32" s="461"/>
      <c r="AV32" s="461"/>
      <c r="AW32" s="461"/>
      <c r="AX32" s="461"/>
      <c r="AY32" s="461"/>
      <c r="AZ32" s="461"/>
      <c r="BA32" s="461"/>
      <c r="BB32" s="461"/>
      <c r="BC32" s="461"/>
      <c r="BD32" s="461"/>
      <c r="BE32" s="461"/>
      <c r="BF32" s="461"/>
      <c r="BG32" s="461"/>
      <c r="BH32" s="461"/>
      <c r="BI32" s="461"/>
      <c r="BJ32" s="461"/>
      <c r="BK32" s="461"/>
      <c r="BL32" s="461"/>
      <c r="BM32" s="461"/>
      <c r="BN32" s="461"/>
      <c r="BO32" s="461"/>
      <c r="BP32" s="461"/>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1"/>
      <c r="CM32" s="461"/>
      <c r="CN32" s="461"/>
      <c r="CO32" s="461"/>
      <c r="CP32" s="461"/>
      <c r="CQ32" s="461"/>
      <c r="CR32" s="461"/>
      <c r="CS32" s="461"/>
      <c r="CT32" s="461"/>
      <c r="CU32" s="461"/>
      <c r="CV32" s="461"/>
      <c r="CW32" s="461"/>
      <c r="CX32" s="461"/>
      <c r="CY32" s="461"/>
      <c r="CZ32" s="461">
        <v>40.806128284504304</v>
      </c>
      <c r="DA32" s="461"/>
      <c r="DB32" s="461"/>
      <c r="DC32" s="461"/>
      <c r="DD32" s="461"/>
      <c r="DE32" s="461"/>
      <c r="DF32" s="461"/>
      <c r="DG32" s="461"/>
      <c r="DH32" s="461"/>
      <c r="DI32" s="461"/>
      <c r="DJ32" s="461"/>
      <c r="DK32" s="461"/>
      <c r="DL32" s="461"/>
      <c r="DM32" s="461"/>
      <c r="DN32" s="461"/>
      <c r="DO32" s="461"/>
      <c r="DP32" s="461"/>
      <c r="DQ32" s="461"/>
      <c r="DR32" s="461"/>
      <c r="DS32" s="461"/>
      <c r="DT32" s="461"/>
      <c r="DU32" s="461"/>
      <c r="DV32" s="461"/>
      <c r="DW32" s="461"/>
      <c r="DX32" s="461"/>
      <c r="DY32" s="461"/>
      <c r="DZ32" s="461"/>
      <c r="EA32" s="461"/>
      <c r="EB32" s="461"/>
      <c r="EC32" s="461"/>
      <c r="ED32" s="461"/>
      <c r="EE32" s="461"/>
      <c r="EF32" s="461"/>
      <c r="EG32" s="461"/>
      <c r="EH32" s="461"/>
      <c r="EI32" s="461"/>
      <c r="EJ32" s="461"/>
      <c r="EK32" s="461"/>
      <c r="EL32" s="461"/>
      <c r="EM32" s="461"/>
      <c r="EN32" s="461"/>
      <c r="EO32" s="461"/>
      <c r="EP32" s="461"/>
      <c r="EQ32" s="461"/>
      <c r="ER32" s="461"/>
      <c r="ES32" s="461"/>
      <c r="ET32" s="461"/>
      <c r="EU32" s="461"/>
      <c r="EV32" s="461"/>
      <c r="EW32" s="461"/>
      <c r="EX32" s="461"/>
      <c r="EY32" s="461"/>
      <c r="EZ32" s="461"/>
      <c r="FA32" s="461"/>
      <c r="FB32" s="461"/>
      <c r="FC32" s="461"/>
      <c r="FD32" s="461"/>
      <c r="FE32" s="461"/>
      <c r="FF32" s="461"/>
      <c r="FG32" s="461"/>
      <c r="FH32" s="461"/>
      <c r="FI32" s="461"/>
      <c r="FJ32" s="461"/>
      <c r="FK32" s="461"/>
      <c r="FL32" s="461"/>
      <c r="FM32" s="461"/>
      <c r="FN32" s="461"/>
      <c r="FO32" s="461"/>
      <c r="FP32" s="461"/>
      <c r="FQ32" s="461"/>
      <c r="FR32" s="461"/>
      <c r="FS32" s="461"/>
      <c r="FT32" s="461"/>
      <c r="FU32" s="461"/>
      <c r="FV32" s="461"/>
      <c r="FW32" s="461"/>
      <c r="FX32" s="461"/>
      <c r="FY32" s="461"/>
      <c r="FZ32" s="461"/>
      <c r="GA32" s="461"/>
      <c r="GB32" s="461"/>
      <c r="GC32" s="461"/>
      <c r="GD32" s="469"/>
      <c r="GE32" s="469"/>
      <c r="GF32" s="469"/>
      <c r="GG32" s="469"/>
      <c r="GH32" s="469"/>
      <c r="GI32" s="469"/>
      <c r="GJ32" s="469"/>
      <c r="GK32" s="469"/>
      <c r="GL32" s="469">
        <v>40.806128284504304</v>
      </c>
      <c r="GM32" s="458"/>
      <c r="GN32" s="469"/>
      <c r="GO32" s="469"/>
      <c r="GP32" s="468"/>
    </row>
    <row r="33" spans="1:198" x14ac:dyDescent="0.25">
      <c r="A33" s="465" t="s">
        <v>2277</v>
      </c>
      <c r="B33" s="461"/>
      <c r="C33" s="461"/>
      <c r="D33" s="461"/>
      <c r="E33" s="461"/>
      <c r="F33" s="461"/>
      <c r="G33" s="461"/>
      <c r="H33" s="461"/>
      <c r="I33" s="461"/>
      <c r="J33" s="461"/>
      <c r="K33" s="461"/>
      <c r="L33" s="461"/>
      <c r="M33" s="461"/>
      <c r="N33" s="461"/>
      <c r="O33" s="461"/>
      <c r="P33" s="461"/>
      <c r="Q33" s="461"/>
      <c r="R33" s="461"/>
      <c r="S33" s="461"/>
      <c r="T33" s="461"/>
      <c r="U33" s="461"/>
      <c r="V33" s="461"/>
      <c r="W33" s="461"/>
      <c r="X33" s="461"/>
      <c r="Y33" s="461"/>
      <c r="Z33" s="461"/>
      <c r="AA33" s="461"/>
      <c r="AB33" s="461"/>
      <c r="AC33" s="461"/>
      <c r="AD33" s="461"/>
      <c r="AE33" s="461"/>
      <c r="AF33" s="461"/>
      <c r="AG33" s="461"/>
      <c r="AH33" s="461"/>
      <c r="AI33" s="461"/>
      <c r="AJ33" s="461"/>
      <c r="AK33" s="461"/>
      <c r="AL33" s="461"/>
      <c r="AM33" s="461"/>
      <c r="AN33" s="461"/>
      <c r="AO33" s="461"/>
      <c r="AP33" s="461"/>
      <c r="AQ33" s="461"/>
      <c r="AR33" s="461"/>
      <c r="AS33" s="461"/>
      <c r="AT33" s="461"/>
      <c r="AU33" s="461"/>
      <c r="AV33" s="461"/>
      <c r="AW33" s="461"/>
      <c r="AX33" s="461"/>
      <c r="AY33" s="461"/>
      <c r="AZ33" s="461"/>
      <c r="BA33" s="461"/>
      <c r="BB33" s="461"/>
      <c r="BC33" s="461"/>
      <c r="BD33" s="461"/>
      <c r="BE33" s="461"/>
      <c r="BF33" s="461"/>
      <c r="BG33" s="461"/>
      <c r="BH33" s="461"/>
      <c r="BI33" s="461"/>
      <c r="BJ33" s="461"/>
      <c r="BK33" s="461"/>
      <c r="BL33" s="461"/>
      <c r="BM33" s="461"/>
      <c r="BN33" s="461"/>
      <c r="BO33" s="461"/>
      <c r="BP33" s="461"/>
      <c r="BQ33" s="461"/>
      <c r="BR33" s="461"/>
      <c r="BS33" s="461"/>
      <c r="BT33" s="461"/>
      <c r="BU33" s="461"/>
      <c r="BV33" s="461"/>
      <c r="BW33" s="461"/>
      <c r="BX33" s="461"/>
      <c r="BY33" s="461"/>
      <c r="BZ33" s="461"/>
      <c r="CA33" s="461"/>
      <c r="CB33" s="461"/>
      <c r="CC33" s="461"/>
      <c r="CD33" s="461"/>
      <c r="CE33" s="461"/>
      <c r="CF33" s="461"/>
      <c r="CG33" s="461"/>
      <c r="CH33" s="461"/>
      <c r="CI33" s="461"/>
      <c r="CJ33" s="461"/>
      <c r="CK33" s="461"/>
      <c r="CL33" s="461"/>
      <c r="CM33" s="461"/>
      <c r="CN33" s="461"/>
      <c r="CO33" s="461"/>
      <c r="CP33" s="461"/>
      <c r="CQ33" s="461"/>
      <c r="CR33" s="461"/>
      <c r="CS33" s="461"/>
      <c r="CT33" s="461"/>
      <c r="CU33" s="461"/>
      <c r="CV33" s="461"/>
      <c r="CW33" s="461"/>
      <c r="CX33" s="461"/>
      <c r="CY33" s="461"/>
      <c r="CZ33" s="461"/>
      <c r="DA33" s="461">
        <v>40.621721857950106</v>
      </c>
      <c r="DB33" s="461"/>
      <c r="DC33" s="461"/>
      <c r="DD33" s="461"/>
      <c r="DE33" s="461"/>
      <c r="DF33" s="461"/>
      <c r="DG33" s="461"/>
      <c r="DH33" s="461"/>
      <c r="DI33" s="461"/>
      <c r="DJ33" s="461"/>
      <c r="DK33" s="461"/>
      <c r="DL33" s="461"/>
      <c r="DM33" s="461"/>
      <c r="DN33" s="461"/>
      <c r="DO33" s="461"/>
      <c r="DP33" s="461"/>
      <c r="DQ33" s="461"/>
      <c r="DR33" s="461"/>
      <c r="DS33" s="461"/>
      <c r="DT33" s="461"/>
      <c r="DU33" s="461"/>
      <c r="DV33" s="461"/>
      <c r="DW33" s="461"/>
      <c r="DX33" s="461"/>
      <c r="DY33" s="461"/>
      <c r="DZ33" s="461"/>
      <c r="EA33" s="461"/>
      <c r="EB33" s="461"/>
      <c r="EC33" s="461"/>
      <c r="ED33" s="461"/>
      <c r="EE33" s="461"/>
      <c r="EF33" s="461"/>
      <c r="EG33" s="461"/>
      <c r="EH33" s="461"/>
      <c r="EI33" s="461"/>
      <c r="EJ33" s="461"/>
      <c r="EK33" s="461"/>
      <c r="EL33" s="461"/>
      <c r="EM33" s="461"/>
      <c r="EN33" s="461"/>
      <c r="EO33" s="461"/>
      <c r="EP33" s="461"/>
      <c r="EQ33" s="461"/>
      <c r="ER33" s="461"/>
      <c r="ES33" s="461"/>
      <c r="ET33" s="461"/>
      <c r="EU33" s="461"/>
      <c r="EV33" s="461"/>
      <c r="EW33" s="461"/>
      <c r="EX33" s="461"/>
      <c r="EY33" s="461"/>
      <c r="EZ33" s="461"/>
      <c r="FA33" s="461"/>
      <c r="FB33" s="461"/>
      <c r="FC33" s="461"/>
      <c r="FD33" s="461"/>
      <c r="FE33" s="461"/>
      <c r="FF33" s="461"/>
      <c r="FG33" s="461"/>
      <c r="FH33" s="461"/>
      <c r="FI33" s="461"/>
      <c r="FJ33" s="461"/>
      <c r="FK33" s="461"/>
      <c r="FL33" s="461"/>
      <c r="FM33" s="461"/>
      <c r="FN33" s="461"/>
      <c r="FO33" s="461"/>
      <c r="FP33" s="461"/>
      <c r="FQ33" s="461"/>
      <c r="FR33" s="461"/>
      <c r="FS33" s="461"/>
      <c r="FT33" s="461"/>
      <c r="FU33" s="461"/>
      <c r="FV33" s="461"/>
      <c r="FW33" s="461"/>
      <c r="FX33" s="461"/>
      <c r="FY33" s="461"/>
      <c r="FZ33" s="461"/>
      <c r="GA33" s="461"/>
      <c r="GB33" s="461"/>
      <c r="GC33" s="461"/>
      <c r="GD33" s="469"/>
      <c r="GE33" s="469"/>
      <c r="GF33" s="469"/>
      <c r="GG33" s="469"/>
      <c r="GH33" s="469"/>
      <c r="GI33" s="469"/>
      <c r="GJ33" s="469"/>
      <c r="GK33" s="469"/>
      <c r="GL33" s="469">
        <v>40.621721857950106</v>
      </c>
      <c r="GM33" s="458"/>
      <c r="GN33" s="469"/>
      <c r="GO33" s="469"/>
      <c r="GP33" s="468"/>
    </row>
    <row r="34" spans="1:198" x14ac:dyDescent="0.25">
      <c r="A34" s="465" t="s">
        <v>2278</v>
      </c>
      <c r="B34" s="461"/>
      <c r="C34" s="461"/>
      <c r="D34" s="461"/>
      <c r="E34" s="461"/>
      <c r="F34" s="461"/>
      <c r="G34" s="461"/>
      <c r="H34" s="461"/>
      <c r="I34" s="461"/>
      <c r="J34" s="461"/>
      <c r="K34" s="461"/>
      <c r="L34" s="461"/>
      <c r="M34" s="461"/>
      <c r="N34" s="461"/>
      <c r="O34" s="461"/>
      <c r="P34" s="461"/>
      <c r="Q34" s="461"/>
      <c r="R34" s="461"/>
      <c r="S34" s="461"/>
      <c r="T34" s="461"/>
      <c r="U34" s="461"/>
      <c r="V34" s="461"/>
      <c r="W34" s="461"/>
      <c r="X34" s="461"/>
      <c r="Y34" s="461"/>
      <c r="Z34" s="461"/>
      <c r="AA34" s="461"/>
      <c r="AB34" s="461"/>
      <c r="AC34" s="461"/>
      <c r="AD34" s="461"/>
      <c r="AE34" s="461"/>
      <c r="AF34" s="461"/>
      <c r="AG34" s="461"/>
      <c r="AH34" s="461"/>
      <c r="AI34" s="461"/>
      <c r="AJ34" s="461"/>
      <c r="AK34" s="461"/>
      <c r="AL34" s="461"/>
      <c r="AM34" s="461"/>
      <c r="AN34" s="461"/>
      <c r="AO34" s="461"/>
      <c r="AP34" s="461"/>
      <c r="AQ34" s="461"/>
      <c r="AR34" s="461"/>
      <c r="AS34" s="461"/>
      <c r="AT34" s="461"/>
      <c r="AU34" s="461"/>
      <c r="AV34" s="461"/>
      <c r="AW34" s="461"/>
      <c r="AX34" s="461"/>
      <c r="AY34" s="461"/>
      <c r="AZ34" s="461"/>
      <c r="BA34" s="461"/>
      <c r="BB34" s="461"/>
      <c r="BC34" s="461"/>
      <c r="BD34" s="461"/>
      <c r="BE34" s="461"/>
      <c r="BF34" s="461"/>
      <c r="BG34" s="461"/>
      <c r="BH34" s="461"/>
      <c r="BI34" s="461"/>
      <c r="BJ34" s="461"/>
      <c r="BK34" s="461"/>
      <c r="BL34" s="461"/>
      <c r="BM34" s="461"/>
      <c r="BN34" s="461"/>
      <c r="BO34" s="461"/>
      <c r="BP34" s="461"/>
      <c r="BQ34" s="461"/>
      <c r="BR34" s="461"/>
      <c r="BS34" s="461"/>
      <c r="BT34" s="461"/>
      <c r="BU34" s="461"/>
      <c r="BV34" s="461"/>
      <c r="BW34" s="461"/>
      <c r="BX34" s="461"/>
      <c r="BY34" s="461"/>
      <c r="BZ34" s="461"/>
      <c r="CA34" s="461"/>
      <c r="CB34" s="461"/>
      <c r="CC34" s="461"/>
      <c r="CD34" s="461"/>
      <c r="CE34" s="461"/>
      <c r="CF34" s="461"/>
      <c r="CG34" s="461"/>
      <c r="CH34" s="461"/>
      <c r="CI34" s="461"/>
      <c r="CJ34" s="461"/>
      <c r="CK34" s="461"/>
      <c r="CL34" s="461"/>
      <c r="CM34" s="461"/>
      <c r="CN34" s="461"/>
      <c r="CO34" s="461"/>
      <c r="CP34" s="461"/>
      <c r="CQ34" s="461"/>
      <c r="CR34" s="461"/>
      <c r="CS34" s="461"/>
      <c r="CT34" s="461"/>
      <c r="CU34" s="461"/>
      <c r="CV34" s="461"/>
      <c r="CW34" s="461"/>
      <c r="CX34" s="461"/>
      <c r="CY34" s="461"/>
      <c r="CZ34" s="461"/>
      <c r="DA34" s="461"/>
      <c r="DB34" s="461">
        <v>19.677532345341262</v>
      </c>
      <c r="DC34" s="461"/>
      <c r="DD34" s="461"/>
      <c r="DE34" s="461"/>
      <c r="DF34" s="461"/>
      <c r="DG34" s="461"/>
      <c r="DH34" s="461"/>
      <c r="DI34" s="461"/>
      <c r="DJ34" s="461"/>
      <c r="DK34" s="461"/>
      <c r="DL34" s="461"/>
      <c r="DM34" s="461"/>
      <c r="DN34" s="461"/>
      <c r="DO34" s="461"/>
      <c r="DP34" s="461"/>
      <c r="DQ34" s="461"/>
      <c r="DR34" s="461"/>
      <c r="DS34" s="461"/>
      <c r="DT34" s="461"/>
      <c r="DU34" s="461"/>
      <c r="DV34" s="461"/>
      <c r="DW34" s="461"/>
      <c r="DX34" s="461"/>
      <c r="DY34" s="461"/>
      <c r="DZ34" s="461"/>
      <c r="EA34" s="461"/>
      <c r="EB34" s="461"/>
      <c r="EC34" s="461"/>
      <c r="ED34" s="461"/>
      <c r="EE34" s="461"/>
      <c r="EF34" s="461"/>
      <c r="EG34" s="461"/>
      <c r="EH34" s="461"/>
      <c r="EI34" s="461"/>
      <c r="EJ34" s="461"/>
      <c r="EK34" s="461"/>
      <c r="EL34" s="461"/>
      <c r="EM34" s="461"/>
      <c r="EN34" s="461"/>
      <c r="EO34" s="461"/>
      <c r="EP34" s="461"/>
      <c r="EQ34" s="461"/>
      <c r="ER34" s="461"/>
      <c r="ES34" s="461"/>
      <c r="ET34" s="461"/>
      <c r="EU34" s="461"/>
      <c r="EV34" s="461"/>
      <c r="EW34" s="461"/>
      <c r="EX34" s="461"/>
      <c r="EY34" s="461"/>
      <c r="EZ34" s="461"/>
      <c r="FA34" s="461"/>
      <c r="FB34" s="461"/>
      <c r="FC34" s="461"/>
      <c r="FD34" s="461"/>
      <c r="FE34" s="461"/>
      <c r="FF34" s="461"/>
      <c r="FG34" s="461"/>
      <c r="FH34" s="461"/>
      <c r="FI34" s="461"/>
      <c r="FJ34" s="461"/>
      <c r="FK34" s="461"/>
      <c r="FL34" s="461"/>
      <c r="FM34" s="461"/>
      <c r="FN34" s="461"/>
      <c r="FO34" s="461"/>
      <c r="FP34" s="461"/>
      <c r="FQ34" s="461"/>
      <c r="FR34" s="461"/>
      <c r="FS34" s="461"/>
      <c r="FT34" s="461"/>
      <c r="FU34" s="461"/>
      <c r="FV34" s="461"/>
      <c r="FW34" s="461"/>
      <c r="FX34" s="461"/>
      <c r="FY34" s="461"/>
      <c r="FZ34" s="461"/>
      <c r="GA34" s="461"/>
      <c r="GB34" s="461"/>
      <c r="GC34" s="461"/>
      <c r="GD34" s="469"/>
      <c r="GE34" s="469"/>
      <c r="GF34" s="469"/>
      <c r="GG34" s="469"/>
      <c r="GH34" s="469"/>
      <c r="GI34" s="469"/>
      <c r="GJ34" s="469"/>
      <c r="GK34" s="469"/>
      <c r="GL34" s="469">
        <v>19.677532345341262</v>
      </c>
      <c r="GM34" s="458"/>
      <c r="GN34" s="469"/>
      <c r="GO34" s="469"/>
      <c r="GP34" s="468"/>
    </row>
    <row r="35" spans="1:198" x14ac:dyDescent="0.25">
      <c r="A35" s="465" t="s">
        <v>2279</v>
      </c>
      <c r="B35" s="461"/>
      <c r="C35" s="461"/>
      <c r="D35" s="461"/>
      <c r="E35" s="461"/>
      <c r="F35" s="461"/>
      <c r="G35" s="461"/>
      <c r="H35" s="461"/>
      <c r="I35" s="461"/>
      <c r="J35" s="461"/>
      <c r="K35" s="461"/>
      <c r="L35" s="461"/>
      <c r="M35" s="461"/>
      <c r="N35" s="461"/>
      <c r="O35" s="461"/>
      <c r="P35" s="461"/>
      <c r="Q35" s="461"/>
      <c r="R35" s="461"/>
      <c r="S35" s="461"/>
      <c r="T35" s="461"/>
      <c r="U35" s="461"/>
      <c r="V35" s="461"/>
      <c r="W35" s="461"/>
      <c r="X35" s="461"/>
      <c r="Y35" s="461"/>
      <c r="Z35" s="461"/>
      <c r="AA35" s="461"/>
      <c r="AB35" s="461"/>
      <c r="AC35" s="461"/>
      <c r="AD35" s="461"/>
      <c r="AE35" s="461"/>
      <c r="AF35" s="461"/>
      <c r="AG35" s="461"/>
      <c r="AH35" s="461"/>
      <c r="AI35" s="461"/>
      <c r="AJ35" s="461"/>
      <c r="AK35" s="461"/>
      <c r="AL35" s="461"/>
      <c r="AM35" s="461"/>
      <c r="AN35" s="461"/>
      <c r="AO35" s="461"/>
      <c r="AP35" s="461"/>
      <c r="AQ35" s="461"/>
      <c r="AR35" s="461"/>
      <c r="AS35" s="461"/>
      <c r="AT35" s="461"/>
      <c r="AU35" s="461"/>
      <c r="AV35" s="461"/>
      <c r="AW35" s="461"/>
      <c r="AX35" s="461"/>
      <c r="AY35" s="461"/>
      <c r="AZ35" s="461"/>
      <c r="BA35" s="461"/>
      <c r="BB35" s="461"/>
      <c r="BC35" s="461"/>
      <c r="BD35" s="461"/>
      <c r="BE35" s="461"/>
      <c r="BF35" s="461"/>
      <c r="BG35" s="461"/>
      <c r="BH35" s="461"/>
      <c r="BI35" s="461"/>
      <c r="BJ35" s="461"/>
      <c r="BK35" s="461"/>
      <c r="BL35" s="461"/>
      <c r="BM35" s="461"/>
      <c r="BN35" s="461"/>
      <c r="BO35" s="461"/>
      <c r="BP35" s="461"/>
      <c r="BQ35" s="461"/>
      <c r="BR35" s="461"/>
      <c r="BS35" s="461"/>
      <c r="BT35" s="461"/>
      <c r="BU35" s="461"/>
      <c r="BV35" s="461"/>
      <c r="BW35" s="461"/>
      <c r="BX35" s="461"/>
      <c r="BY35" s="461"/>
      <c r="BZ35" s="461"/>
      <c r="CA35" s="461"/>
      <c r="CB35" s="461"/>
      <c r="CC35" s="461"/>
      <c r="CD35" s="461"/>
      <c r="CE35" s="461"/>
      <c r="CF35" s="461"/>
      <c r="CG35" s="461"/>
      <c r="CH35" s="461"/>
      <c r="CI35" s="461"/>
      <c r="CJ35" s="461"/>
      <c r="CK35" s="461"/>
      <c r="CL35" s="461"/>
      <c r="CM35" s="461"/>
      <c r="CN35" s="461"/>
      <c r="CO35" s="461"/>
      <c r="CP35" s="461"/>
      <c r="CQ35" s="461"/>
      <c r="CR35" s="461"/>
      <c r="CS35" s="461"/>
      <c r="CT35" s="461"/>
      <c r="CU35" s="461"/>
      <c r="CV35" s="461"/>
      <c r="CW35" s="461"/>
      <c r="CX35" s="461"/>
      <c r="CY35" s="461"/>
      <c r="CZ35" s="461"/>
      <c r="DA35" s="461"/>
      <c r="DB35" s="461"/>
      <c r="DC35" s="461">
        <v>14.80264344464336</v>
      </c>
      <c r="DD35" s="461"/>
      <c r="DE35" s="461"/>
      <c r="DF35" s="461"/>
      <c r="DG35" s="461"/>
      <c r="DH35" s="461"/>
      <c r="DI35" s="461"/>
      <c r="DJ35" s="461"/>
      <c r="DK35" s="461"/>
      <c r="DL35" s="461"/>
      <c r="DM35" s="461"/>
      <c r="DN35" s="461"/>
      <c r="DO35" s="461"/>
      <c r="DP35" s="461"/>
      <c r="DQ35" s="461"/>
      <c r="DR35" s="461"/>
      <c r="DS35" s="461"/>
      <c r="DT35" s="461"/>
      <c r="DU35" s="461"/>
      <c r="DV35" s="461"/>
      <c r="DW35" s="461"/>
      <c r="DX35" s="461"/>
      <c r="DY35" s="461"/>
      <c r="DZ35" s="461"/>
      <c r="EA35" s="461"/>
      <c r="EB35" s="461"/>
      <c r="EC35" s="461"/>
      <c r="ED35" s="461"/>
      <c r="EE35" s="461"/>
      <c r="EF35" s="461"/>
      <c r="EG35" s="461"/>
      <c r="EH35" s="461"/>
      <c r="EI35" s="461"/>
      <c r="EJ35" s="461"/>
      <c r="EK35" s="461"/>
      <c r="EL35" s="461"/>
      <c r="EM35" s="461"/>
      <c r="EN35" s="461"/>
      <c r="EO35" s="461"/>
      <c r="EP35" s="461"/>
      <c r="EQ35" s="461"/>
      <c r="ER35" s="461"/>
      <c r="ES35" s="461"/>
      <c r="ET35" s="461"/>
      <c r="EU35" s="461"/>
      <c r="EV35" s="461"/>
      <c r="EW35" s="461"/>
      <c r="EX35" s="461"/>
      <c r="EY35" s="461"/>
      <c r="EZ35" s="461"/>
      <c r="FA35" s="461"/>
      <c r="FB35" s="461"/>
      <c r="FC35" s="461"/>
      <c r="FD35" s="461"/>
      <c r="FE35" s="461"/>
      <c r="FF35" s="461"/>
      <c r="FG35" s="461"/>
      <c r="FH35" s="461"/>
      <c r="FI35" s="461"/>
      <c r="FJ35" s="461"/>
      <c r="FK35" s="461"/>
      <c r="FL35" s="461"/>
      <c r="FM35" s="461"/>
      <c r="FN35" s="461"/>
      <c r="FO35" s="461"/>
      <c r="FP35" s="461"/>
      <c r="FQ35" s="461"/>
      <c r="FR35" s="461"/>
      <c r="FS35" s="461"/>
      <c r="FT35" s="461"/>
      <c r="FU35" s="461"/>
      <c r="FV35" s="461"/>
      <c r="FW35" s="461"/>
      <c r="FX35" s="461"/>
      <c r="FY35" s="461"/>
      <c r="FZ35" s="461"/>
      <c r="GA35" s="461"/>
      <c r="GB35" s="461"/>
      <c r="GC35" s="461"/>
      <c r="GD35" s="469"/>
      <c r="GE35" s="469"/>
      <c r="GF35" s="469"/>
      <c r="GG35" s="469"/>
      <c r="GH35" s="469"/>
      <c r="GI35" s="469"/>
      <c r="GJ35" s="469"/>
      <c r="GK35" s="469"/>
      <c r="GL35" s="469">
        <v>14.80264344464336</v>
      </c>
      <c r="GM35" s="458"/>
      <c r="GN35" s="469"/>
      <c r="GO35" s="469"/>
      <c r="GP35" s="468"/>
    </row>
    <row r="36" spans="1:198" x14ac:dyDescent="0.25">
      <c r="A36" s="465" t="s">
        <v>2280</v>
      </c>
      <c r="B36" s="461"/>
      <c r="C36" s="461"/>
      <c r="D36" s="461"/>
      <c r="E36" s="461"/>
      <c r="F36" s="461"/>
      <c r="G36" s="461"/>
      <c r="H36" s="461"/>
      <c r="I36" s="461"/>
      <c r="J36" s="461"/>
      <c r="K36" s="461"/>
      <c r="L36" s="461"/>
      <c r="M36" s="461"/>
      <c r="N36" s="461"/>
      <c r="O36" s="461"/>
      <c r="P36" s="461"/>
      <c r="Q36" s="461"/>
      <c r="R36" s="461"/>
      <c r="S36" s="461"/>
      <c r="T36" s="461"/>
      <c r="U36" s="461"/>
      <c r="V36" s="461"/>
      <c r="W36" s="461"/>
      <c r="X36" s="461"/>
      <c r="Y36" s="461"/>
      <c r="Z36" s="461"/>
      <c r="AA36" s="461"/>
      <c r="AB36" s="461"/>
      <c r="AC36" s="461"/>
      <c r="AD36" s="461"/>
      <c r="AE36" s="461"/>
      <c r="AF36" s="461"/>
      <c r="AG36" s="461"/>
      <c r="AH36" s="461"/>
      <c r="AI36" s="461"/>
      <c r="AJ36" s="461"/>
      <c r="AK36" s="461"/>
      <c r="AL36" s="461"/>
      <c r="AM36" s="461"/>
      <c r="AN36" s="461"/>
      <c r="AO36" s="461"/>
      <c r="AP36" s="461"/>
      <c r="AQ36" s="461"/>
      <c r="AR36" s="461"/>
      <c r="AS36" s="461"/>
      <c r="AT36" s="461"/>
      <c r="AU36" s="461"/>
      <c r="AV36" s="461"/>
      <c r="AW36" s="461"/>
      <c r="AX36" s="461"/>
      <c r="AY36" s="461"/>
      <c r="AZ36" s="461"/>
      <c r="BA36" s="461"/>
      <c r="BB36" s="461"/>
      <c r="BC36" s="461"/>
      <c r="BD36" s="461"/>
      <c r="BE36" s="461"/>
      <c r="BF36" s="461"/>
      <c r="BG36" s="461"/>
      <c r="BH36" s="461"/>
      <c r="BI36" s="461"/>
      <c r="BJ36" s="461"/>
      <c r="BK36" s="461"/>
      <c r="BL36" s="461"/>
      <c r="BM36" s="461"/>
      <c r="BN36" s="461"/>
      <c r="BO36" s="461"/>
      <c r="BP36" s="461"/>
      <c r="BQ36" s="461"/>
      <c r="BR36" s="461"/>
      <c r="BS36" s="461"/>
      <c r="BT36" s="461"/>
      <c r="BU36" s="461"/>
      <c r="BV36" s="461"/>
      <c r="BW36" s="461"/>
      <c r="BX36" s="461"/>
      <c r="BY36" s="461"/>
      <c r="BZ36" s="461"/>
      <c r="CA36" s="461"/>
      <c r="CB36" s="461"/>
      <c r="CC36" s="461"/>
      <c r="CD36" s="461"/>
      <c r="CE36" s="461"/>
      <c r="CF36" s="461"/>
      <c r="CG36" s="461"/>
      <c r="CH36" s="461"/>
      <c r="CI36" s="461"/>
      <c r="CJ36" s="461"/>
      <c r="CK36" s="461"/>
      <c r="CL36" s="461"/>
      <c r="CM36" s="461"/>
      <c r="CN36" s="461"/>
      <c r="CO36" s="461"/>
      <c r="CP36" s="461"/>
      <c r="CQ36" s="461"/>
      <c r="CR36" s="461"/>
      <c r="CS36" s="461"/>
      <c r="CT36" s="461"/>
      <c r="CU36" s="461"/>
      <c r="CV36" s="461"/>
      <c r="CW36" s="461"/>
      <c r="CX36" s="461"/>
      <c r="CY36" s="461"/>
      <c r="CZ36" s="461"/>
      <c r="DA36" s="461"/>
      <c r="DB36" s="461"/>
      <c r="DC36" s="461"/>
      <c r="DD36" s="461">
        <v>92.680751041661509</v>
      </c>
      <c r="DE36" s="461"/>
      <c r="DF36" s="461"/>
      <c r="DG36" s="461"/>
      <c r="DH36" s="461"/>
      <c r="DI36" s="461"/>
      <c r="DJ36" s="461"/>
      <c r="DK36" s="461"/>
      <c r="DL36" s="461"/>
      <c r="DM36" s="461"/>
      <c r="DN36" s="461"/>
      <c r="DO36" s="461"/>
      <c r="DP36" s="461"/>
      <c r="DQ36" s="461"/>
      <c r="DR36" s="461"/>
      <c r="DS36" s="461"/>
      <c r="DT36" s="461"/>
      <c r="DU36" s="461"/>
      <c r="DV36" s="461"/>
      <c r="DW36" s="461"/>
      <c r="DX36" s="461"/>
      <c r="DY36" s="461"/>
      <c r="DZ36" s="461"/>
      <c r="EA36" s="461"/>
      <c r="EB36" s="461"/>
      <c r="EC36" s="461"/>
      <c r="ED36" s="461"/>
      <c r="EE36" s="461"/>
      <c r="EF36" s="461"/>
      <c r="EG36" s="461"/>
      <c r="EH36" s="461"/>
      <c r="EI36" s="461"/>
      <c r="EJ36" s="461"/>
      <c r="EK36" s="461"/>
      <c r="EL36" s="461"/>
      <c r="EM36" s="461"/>
      <c r="EN36" s="461"/>
      <c r="EO36" s="461"/>
      <c r="EP36" s="461"/>
      <c r="EQ36" s="461"/>
      <c r="ER36" s="461"/>
      <c r="ES36" s="461"/>
      <c r="ET36" s="461"/>
      <c r="EU36" s="461"/>
      <c r="EV36" s="461"/>
      <c r="EW36" s="461"/>
      <c r="EX36" s="461"/>
      <c r="EY36" s="461"/>
      <c r="EZ36" s="461"/>
      <c r="FA36" s="461"/>
      <c r="FB36" s="461"/>
      <c r="FC36" s="461"/>
      <c r="FD36" s="461"/>
      <c r="FE36" s="461"/>
      <c r="FF36" s="461"/>
      <c r="FG36" s="461"/>
      <c r="FH36" s="461"/>
      <c r="FI36" s="461"/>
      <c r="FJ36" s="461"/>
      <c r="FK36" s="461"/>
      <c r="FL36" s="461"/>
      <c r="FM36" s="461"/>
      <c r="FN36" s="461"/>
      <c r="FO36" s="461"/>
      <c r="FP36" s="461"/>
      <c r="FQ36" s="461"/>
      <c r="FR36" s="461"/>
      <c r="FS36" s="461"/>
      <c r="FT36" s="461"/>
      <c r="FU36" s="461"/>
      <c r="FV36" s="461"/>
      <c r="FW36" s="461"/>
      <c r="FX36" s="461"/>
      <c r="FY36" s="461"/>
      <c r="FZ36" s="461"/>
      <c r="GA36" s="461"/>
      <c r="GB36" s="461"/>
      <c r="GC36" s="461"/>
      <c r="GD36" s="469"/>
      <c r="GE36" s="469"/>
      <c r="GF36" s="469"/>
      <c r="GG36" s="469"/>
      <c r="GH36" s="469"/>
      <c r="GI36" s="469"/>
      <c r="GJ36" s="469"/>
      <c r="GK36" s="469"/>
      <c r="GL36" s="469">
        <v>92.680751041661509</v>
      </c>
      <c r="GM36" s="458"/>
      <c r="GN36" s="469"/>
      <c r="GO36" s="469"/>
      <c r="GP36" s="468"/>
    </row>
    <row r="37" spans="1:198" x14ac:dyDescent="0.25">
      <c r="A37" s="465" t="s">
        <v>2281</v>
      </c>
      <c r="B37" s="461"/>
      <c r="C37" s="461"/>
      <c r="D37" s="461"/>
      <c r="E37" s="461"/>
      <c r="F37" s="461"/>
      <c r="G37" s="461"/>
      <c r="H37" s="461"/>
      <c r="I37" s="461"/>
      <c r="J37" s="461"/>
      <c r="K37" s="461"/>
      <c r="L37" s="461"/>
      <c r="M37" s="461"/>
      <c r="N37" s="461"/>
      <c r="O37" s="461"/>
      <c r="P37" s="461"/>
      <c r="Q37" s="461"/>
      <c r="R37" s="461"/>
      <c r="S37" s="461"/>
      <c r="T37" s="461"/>
      <c r="U37" s="461"/>
      <c r="V37" s="461"/>
      <c r="W37" s="461"/>
      <c r="X37" s="461"/>
      <c r="Y37" s="461"/>
      <c r="Z37" s="461"/>
      <c r="AA37" s="461"/>
      <c r="AB37" s="461"/>
      <c r="AC37" s="461"/>
      <c r="AD37" s="461"/>
      <c r="AE37" s="461"/>
      <c r="AF37" s="461"/>
      <c r="AG37" s="461"/>
      <c r="AH37" s="461"/>
      <c r="AI37" s="461"/>
      <c r="AJ37" s="461"/>
      <c r="AK37" s="461"/>
      <c r="AL37" s="461"/>
      <c r="AM37" s="461"/>
      <c r="AN37" s="461"/>
      <c r="AO37" s="461"/>
      <c r="AP37" s="461"/>
      <c r="AQ37" s="461"/>
      <c r="AR37" s="461"/>
      <c r="AS37" s="461"/>
      <c r="AT37" s="461"/>
      <c r="AU37" s="461"/>
      <c r="AV37" s="461"/>
      <c r="AW37" s="461"/>
      <c r="AX37" s="461"/>
      <c r="AY37" s="461"/>
      <c r="AZ37" s="461"/>
      <c r="BA37" s="461"/>
      <c r="BB37" s="461"/>
      <c r="BC37" s="461"/>
      <c r="BD37" s="461"/>
      <c r="BE37" s="461"/>
      <c r="BF37" s="461"/>
      <c r="BG37" s="461"/>
      <c r="BH37" s="461"/>
      <c r="BI37" s="461"/>
      <c r="BJ37" s="461"/>
      <c r="BK37" s="461"/>
      <c r="BL37" s="461"/>
      <c r="BM37" s="461"/>
      <c r="BN37" s="461"/>
      <c r="BO37" s="461"/>
      <c r="BP37" s="461"/>
      <c r="BQ37" s="461"/>
      <c r="BR37" s="461"/>
      <c r="BS37" s="461"/>
      <c r="BT37" s="461"/>
      <c r="BU37" s="461"/>
      <c r="BV37" s="461"/>
      <c r="BW37" s="461"/>
      <c r="BX37" s="461"/>
      <c r="BY37" s="461"/>
      <c r="BZ37" s="461"/>
      <c r="CA37" s="461"/>
      <c r="CB37" s="461"/>
      <c r="CC37" s="461"/>
      <c r="CD37" s="461"/>
      <c r="CE37" s="461"/>
      <c r="CF37" s="461"/>
      <c r="CG37" s="461"/>
      <c r="CH37" s="461"/>
      <c r="CI37" s="461"/>
      <c r="CJ37" s="461"/>
      <c r="CK37" s="461"/>
      <c r="CL37" s="461"/>
      <c r="CM37" s="461"/>
      <c r="CN37" s="461"/>
      <c r="CO37" s="461"/>
      <c r="CP37" s="461"/>
      <c r="CQ37" s="461"/>
      <c r="CR37" s="461"/>
      <c r="CS37" s="461"/>
      <c r="CT37" s="461"/>
      <c r="CU37" s="461"/>
      <c r="CV37" s="461"/>
      <c r="CW37" s="461"/>
      <c r="CX37" s="461"/>
      <c r="CY37" s="461"/>
      <c r="CZ37" s="461"/>
      <c r="DA37" s="461"/>
      <c r="DB37" s="461"/>
      <c r="DC37" s="461"/>
      <c r="DD37" s="461"/>
      <c r="DE37" s="461">
        <v>21.877541582885531</v>
      </c>
      <c r="DF37" s="461"/>
      <c r="DG37" s="461"/>
      <c r="DH37" s="461"/>
      <c r="DI37" s="461"/>
      <c r="DJ37" s="461"/>
      <c r="DK37" s="461"/>
      <c r="DL37" s="461"/>
      <c r="DM37" s="461"/>
      <c r="DN37" s="461"/>
      <c r="DO37" s="461"/>
      <c r="DP37" s="461"/>
      <c r="DQ37" s="461"/>
      <c r="DR37" s="461"/>
      <c r="DS37" s="461"/>
      <c r="DT37" s="461"/>
      <c r="DU37" s="461"/>
      <c r="DV37" s="461"/>
      <c r="DW37" s="461"/>
      <c r="DX37" s="461"/>
      <c r="DY37" s="461"/>
      <c r="DZ37" s="461"/>
      <c r="EA37" s="461"/>
      <c r="EB37" s="461"/>
      <c r="EC37" s="461"/>
      <c r="ED37" s="461"/>
      <c r="EE37" s="461"/>
      <c r="EF37" s="461"/>
      <c r="EG37" s="461"/>
      <c r="EH37" s="461"/>
      <c r="EI37" s="461"/>
      <c r="EJ37" s="461"/>
      <c r="EK37" s="461"/>
      <c r="EL37" s="461"/>
      <c r="EM37" s="461"/>
      <c r="EN37" s="461"/>
      <c r="EO37" s="461"/>
      <c r="EP37" s="461"/>
      <c r="EQ37" s="461"/>
      <c r="ER37" s="461"/>
      <c r="ES37" s="461"/>
      <c r="ET37" s="461"/>
      <c r="EU37" s="461"/>
      <c r="EV37" s="461"/>
      <c r="EW37" s="461"/>
      <c r="EX37" s="461"/>
      <c r="EY37" s="461"/>
      <c r="EZ37" s="461"/>
      <c r="FA37" s="461"/>
      <c r="FB37" s="461"/>
      <c r="FC37" s="461"/>
      <c r="FD37" s="461"/>
      <c r="FE37" s="461"/>
      <c r="FF37" s="461"/>
      <c r="FG37" s="461"/>
      <c r="FH37" s="461"/>
      <c r="FI37" s="461"/>
      <c r="FJ37" s="461"/>
      <c r="FK37" s="461"/>
      <c r="FL37" s="461"/>
      <c r="FM37" s="461"/>
      <c r="FN37" s="461"/>
      <c r="FO37" s="461"/>
      <c r="FP37" s="461"/>
      <c r="FQ37" s="461"/>
      <c r="FR37" s="461"/>
      <c r="FS37" s="461"/>
      <c r="FT37" s="461"/>
      <c r="FU37" s="461"/>
      <c r="FV37" s="461"/>
      <c r="FW37" s="461"/>
      <c r="FX37" s="461"/>
      <c r="FY37" s="461"/>
      <c r="FZ37" s="461"/>
      <c r="GA37" s="461"/>
      <c r="GB37" s="461"/>
      <c r="GC37" s="461"/>
      <c r="GD37" s="469"/>
      <c r="GE37" s="469"/>
      <c r="GF37" s="469"/>
      <c r="GG37" s="469"/>
      <c r="GH37" s="469"/>
      <c r="GI37" s="469"/>
      <c r="GJ37" s="469"/>
      <c r="GK37" s="469"/>
      <c r="GL37" s="469">
        <v>21.877541582885531</v>
      </c>
      <c r="GM37" s="458"/>
      <c r="GN37" s="469"/>
      <c r="GO37" s="469"/>
      <c r="GP37" s="468"/>
    </row>
    <row r="38" spans="1:198" x14ac:dyDescent="0.25">
      <c r="A38" s="465" t="s">
        <v>2282</v>
      </c>
      <c r="B38" s="461"/>
      <c r="C38" s="461"/>
      <c r="D38" s="461"/>
      <c r="E38" s="461"/>
      <c r="F38" s="461"/>
      <c r="G38" s="461"/>
      <c r="H38" s="461"/>
      <c r="I38" s="461"/>
      <c r="J38" s="461"/>
      <c r="K38" s="461"/>
      <c r="L38" s="461"/>
      <c r="M38" s="461"/>
      <c r="N38" s="461"/>
      <c r="O38" s="461"/>
      <c r="P38" s="461"/>
      <c r="Q38" s="461"/>
      <c r="R38" s="461"/>
      <c r="S38" s="461"/>
      <c r="T38" s="461"/>
      <c r="U38" s="461"/>
      <c r="V38" s="461"/>
      <c r="W38" s="461"/>
      <c r="X38" s="461"/>
      <c r="Y38" s="461"/>
      <c r="Z38" s="461"/>
      <c r="AA38" s="461"/>
      <c r="AB38" s="461"/>
      <c r="AC38" s="461"/>
      <c r="AD38" s="461"/>
      <c r="AE38" s="461"/>
      <c r="AF38" s="461"/>
      <c r="AG38" s="461"/>
      <c r="AH38" s="461"/>
      <c r="AI38" s="461"/>
      <c r="AJ38" s="461"/>
      <c r="AK38" s="461"/>
      <c r="AL38" s="461"/>
      <c r="AM38" s="461"/>
      <c r="AN38" s="461"/>
      <c r="AO38" s="461"/>
      <c r="AP38" s="461"/>
      <c r="AQ38" s="461"/>
      <c r="AR38" s="461"/>
      <c r="AS38" s="461"/>
      <c r="AT38" s="461"/>
      <c r="AU38" s="461"/>
      <c r="AV38" s="461"/>
      <c r="AW38" s="461"/>
      <c r="AX38" s="461"/>
      <c r="AY38" s="461"/>
      <c r="AZ38" s="461"/>
      <c r="BA38" s="461"/>
      <c r="BB38" s="461"/>
      <c r="BC38" s="461"/>
      <c r="BD38" s="461"/>
      <c r="BE38" s="461"/>
      <c r="BF38" s="461"/>
      <c r="BG38" s="461"/>
      <c r="BH38" s="461"/>
      <c r="BI38" s="461"/>
      <c r="BJ38" s="461"/>
      <c r="BK38" s="461"/>
      <c r="BL38" s="461"/>
      <c r="BM38" s="461"/>
      <c r="BN38" s="461"/>
      <c r="BO38" s="461"/>
      <c r="BP38" s="461"/>
      <c r="BQ38" s="461"/>
      <c r="BR38" s="461"/>
      <c r="BS38" s="461"/>
      <c r="BT38" s="461"/>
      <c r="BU38" s="461"/>
      <c r="BV38" s="461"/>
      <c r="BW38" s="461"/>
      <c r="BX38" s="461"/>
      <c r="BY38" s="461"/>
      <c r="BZ38" s="461"/>
      <c r="CA38" s="461"/>
      <c r="CB38" s="461"/>
      <c r="CC38" s="461"/>
      <c r="CD38" s="461"/>
      <c r="CE38" s="461"/>
      <c r="CF38" s="461"/>
      <c r="CG38" s="461"/>
      <c r="CH38" s="461"/>
      <c r="CI38" s="461"/>
      <c r="CJ38" s="461"/>
      <c r="CK38" s="461"/>
      <c r="CL38" s="461"/>
      <c r="CM38" s="461"/>
      <c r="CN38" s="461"/>
      <c r="CO38" s="461"/>
      <c r="CP38" s="461"/>
      <c r="CQ38" s="461"/>
      <c r="CR38" s="461"/>
      <c r="CS38" s="461"/>
      <c r="CT38" s="461"/>
      <c r="CU38" s="461"/>
      <c r="CV38" s="461"/>
      <c r="CW38" s="461"/>
      <c r="CX38" s="461"/>
      <c r="CY38" s="461"/>
      <c r="CZ38" s="461"/>
      <c r="DA38" s="461"/>
      <c r="DB38" s="461"/>
      <c r="DC38" s="461"/>
      <c r="DD38" s="461"/>
      <c r="DE38" s="461"/>
      <c r="DF38" s="461">
        <v>10.741483900107259</v>
      </c>
      <c r="DG38" s="461"/>
      <c r="DH38" s="461"/>
      <c r="DI38" s="461"/>
      <c r="DJ38" s="461"/>
      <c r="DK38" s="461"/>
      <c r="DL38" s="461"/>
      <c r="DM38" s="461"/>
      <c r="DN38" s="461"/>
      <c r="DO38" s="461"/>
      <c r="DP38" s="461"/>
      <c r="DQ38" s="461"/>
      <c r="DR38" s="461"/>
      <c r="DS38" s="461"/>
      <c r="DT38" s="461"/>
      <c r="DU38" s="461"/>
      <c r="DV38" s="461"/>
      <c r="DW38" s="461"/>
      <c r="DX38" s="461"/>
      <c r="DY38" s="461"/>
      <c r="DZ38" s="461"/>
      <c r="EA38" s="461"/>
      <c r="EB38" s="461"/>
      <c r="EC38" s="461"/>
      <c r="ED38" s="461"/>
      <c r="EE38" s="461"/>
      <c r="EF38" s="461"/>
      <c r="EG38" s="461"/>
      <c r="EH38" s="461"/>
      <c r="EI38" s="461"/>
      <c r="EJ38" s="461"/>
      <c r="EK38" s="461"/>
      <c r="EL38" s="461"/>
      <c r="EM38" s="461"/>
      <c r="EN38" s="461"/>
      <c r="EO38" s="461"/>
      <c r="EP38" s="461"/>
      <c r="EQ38" s="461"/>
      <c r="ER38" s="461"/>
      <c r="ES38" s="461"/>
      <c r="ET38" s="461"/>
      <c r="EU38" s="461"/>
      <c r="EV38" s="461"/>
      <c r="EW38" s="461"/>
      <c r="EX38" s="461"/>
      <c r="EY38" s="461"/>
      <c r="EZ38" s="461"/>
      <c r="FA38" s="461"/>
      <c r="FB38" s="461"/>
      <c r="FC38" s="461"/>
      <c r="FD38" s="461"/>
      <c r="FE38" s="461"/>
      <c r="FF38" s="461"/>
      <c r="FG38" s="461"/>
      <c r="FH38" s="461"/>
      <c r="FI38" s="461"/>
      <c r="FJ38" s="461"/>
      <c r="FK38" s="461"/>
      <c r="FL38" s="461"/>
      <c r="FM38" s="461"/>
      <c r="FN38" s="461"/>
      <c r="FO38" s="461"/>
      <c r="FP38" s="461"/>
      <c r="FQ38" s="461"/>
      <c r="FR38" s="461"/>
      <c r="FS38" s="461"/>
      <c r="FT38" s="461"/>
      <c r="FU38" s="461"/>
      <c r="FV38" s="461"/>
      <c r="FW38" s="461"/>
      <c r="FX38" s="461"/>
      <c r="FY38" s="461"/>
      <c r="FZ38" s="461"/>
      <c r="GA38" s="461"/>
      <c r="GB38" s="461"/>
      <c r="GC38" s="461"/>
      <c r="GD38" s="469"/>
      <c r="GE38" s="469"/>
      <c r="GF38" s="469"/>
      <c r="GG38" s="469"/>
      <c r="GH38" s="469"/>
      <c r="GI38" s="469"/>
      <c r="GJ38" s="469"/>
      <c r="GK38" s="469"/>
      <c r="GL38" s="469">
        <v>10.741483900107259</v>
      </c>
      <c r="GM38" s="458"/>
      <c r="GN38" s="469"/>
      <c r="GO38" s="469"/>
      <c r="GP38" s="468"/>
    </row>
    <row r="39" spans="1:198" x14ac:dyDescent="0.25">
      <c r="A39" s="465" t="s">
        <v>2283</v>
      </c>
      <c r="B39" s="461"/>
      <c r="C39" s="461"/>
      <c r="D39" s="461"/>
      <c r="E39" s="461"/>
      <c r="F39" s="461"/>
      <c r="G39" s="461"/>
      <c r="H39" s="461"/>
      <c r="I39" s="461"/>
      <c r="J39" s="461"/>
      <c r="K39" s="461"/>
      <c r="L39" s="461"/>
      <c r="M39" s="461"/>
      <c r="N39" s="461"/>
      <c r="O39" s="461"/>
      <c r="P39" s="461"/>
      <c r="Q39" s="461"/>
      <c r="R39" s="461"/>
      <c r="S39" s="461"/>
      <c r="T39" s="461"/>
      <c r="U39" s="461"/>
      <c r="V39" s="461"/>
      <c r="W39" s="461"/>
      <c r="X39" s="461"/>
      <c r="Y39" s="461"/>
      <c r="Z39" s="461"/>
      <c r="AA39" s="461"/>
      <c r="AB39" s="461"/>
      <c r="AC39" s="461"/>
      <c r="AD39" s="461"/>
      <c r="AE39" s="461"/>
      <c r="AF39" s="461"/>
      <c r="AG39" s="461"/>
      <c r="AH39" s="461"/>
      <c r="AI39" s="461"/>
      <c r="AJ39" s="461"/>
      <c r="AK39" s="461"/>
      <c r="AL39" s="461"/>
      <c r="AM39" s="461"/>
      <c r="AN39" s="461"/>
      <c r="AO39" s="461"/>
      <c r="AP39" s="461"/>
      <c r="AQ39" s="461"/>
      <c r="AR39" s="461"/>
      <c r="AS39" s="461"/>
      <c r="AT39" s="461"/>
      <c r="AU39" s="461"/>
      <c r="AV39" s="461"/>
      <c r="AW39" s="461"/>
      <c r="AX39" s="461"/>
      <c r="AY39" s="461"/>
      <c r="AZ39" s="461"/>
      <c r="BA39" s="461"/>
      <c r="BB39" s="461"/>
      <c r="BC39" s="461"/>
      <c r="BD39" s="461"/>
      <c r="BE39" s="461"/>
      <c r="BF39" s="461"/>
      <c r="BG39" s="461"/>
      <c r="BH39" s="461"/>
      <c r="BI39" s="461"/>
      <c r="BJ39" s="461"/>
      <c r="BK39" s="461"/>
      <c r="BL39" s="461"/>
      <c r="BM39" s="461"/>
      <c r="BN39" s="461"/>
      <c r="BO39" s="461"/>
      <c r="BP39" s="461"/>
      <c r="BQ39" s="461"/>
      <c r="BR39" s="461"/>
      <c r="BS39" s="461"/>
      <c r="BT39" s="461"/>
      <c r="BU39" s="461"/>
      <c r="BV39" s="461"/>
      <c r="BW39" s="461"/>
      <c r="BX39" s="461"/>
      <c r="BY39" s="461"/>
      <c r="BZ39" s="461"/>
      <c r="CA39" s="461"/>
      <c r="CB39" s="461"/>
      <c r="CC39" s="461"/>
      <c r="CD39" s="461"/>
      <c r="CE39" s="461"/>
      <c r="CF39" s="461"/>
      <c r="CG39" s="461"/>
      <c r="CH39" s="461"/>
      <c r="CI39" s="461"/>
      <c r="CJ39" s="461"/>
      <c r="CK39" s="461"/>
      <c r="CL39" s="461"/>
      <c r="CM39" s="461"/>
      <c r="CN39" s="461"/>
      <c r="CO39" s="461"/>
      <c r="CP39" s="461"/>
      <c r="CQ39" s="461"/>
      <c r="CR39" s="461"/>
      <c r="CS39" s="461"/>
      <c r="CT39" s="461"/>
      <c r="CU39" s="461"/>
      <c r="CV39" s="461"/>
      <c r="CW39" s="461"/>
      <c r="CX39" s="461"/>
      <c r="CY39" s="461"/>
      <c r="CZ39" s="461"/>
      <c r="DA39" s="461"/>
      <c r="DB39" s="461"/>
      <c r="DC39" s="461"/>
      <c r="DD39" s="461"/>
      <c r="DE39" s="461"/>
      <c r="DF39" s="461"/>
      <c r="DG39" s="461">
        <v>1.2872575695391093</v>
      </c>
      <c r="DH39" s="461"/>
      <c r="DI39" s="461"/>
      <c r="DJ39" s="461"/>
      <c r="DK39" s="461"/>
      <c r="DL39" s="461"/>
      <c r="DM39" s="461"/>
      <c r="DN39" s="461"/>
      <c r="DO39" s="461"/>
      <c r="DP39" s="461"/>
      <c r="DQ39" s="461"/>
      <c r="DR39" s="461"/>
      <c r="DS39" s="461"/>
      <c r="DT39" s="461"/>
      <c r="DU39" s="461"/>
      <c r="DV39" s="461"/>
      <c r="DW39" s="461"/>
      <c r="DX39" s="461"/>
      <c r="DY39" s="461"/>
      <c r="DZ39" s="461"/>
      <c r="EA39" s="461"/>
      <c r="EB39" s="461"/>
      <c r="EC39" s="461"/>
      <c r="ED39" s="461"/>
      <c r="EE39" s="461"/>
      <c r="EF39" s="461"/>
      <c r="EG39" s="461"/>
      <c r="EH39" s="461"/>
      <c r="EI39" s="461"/>
      <c r="EJ39" s="461"/>
      <c r="EK39" s="461"/>
      <c r="EL39" s="461"/>
      <c r="EM39" s="461"/>
      <c r="EN39" s="461"/>
      <c r="EO39" s="461"/>
      <c r="EP39" s="461"/>
      <c r="EQ39" s="461"/>
      <c r="ER39" s="461"/>
      <c r="ES39" s="461"/>
      <c r="ET39" s="461"/>
      <c r="EU39" s="461"/>
      <c r="EV39" s="461"/>
      <c r="EW39" s="461"/>
      <c r="EX39" s="461"/>
      <c r="EY39" s="461"/>
      <c r="EZ39" s="461"/>
      <c r="FA39" s="461"/>
      <c r="FB39" s="461"/>
      <c r="FC39" s="461"/>
      <c r="FD39" s="461"/>
      <c r="FE39" s="461"/>
      <c r="FF39" s="461"/>
      <c r="FG39" s="461"/>
      <c r="FH39" s="461"/>
      <c r="FI39" s="461"/>
      <c r="FJ39" s="461"/>
      <c r="FK39" s="461"/>
      <c r="FL39" s="461"/>
      <c r="FM39" s="461"/>
      <c r="FN39" s="461"/>
      <c r="FO39" s="461"/>
      <c r="FP39" s="461"/>
      <c r="FQ39" s="461"/>
      <c r="FR39" s="461"/>
      <c r="FS39" s="461"/>
      <c r="FT39" s="461"/>
      <c r="FU39" s="461"/>
      <c r="FV39" s="461"/>
      <c r="FW39" s="461"/>
      <c r="FX39" s="461"/>
      <c r="FY39" s="461"/>
      <c r="FZ39" s="461"/>
      <c r="GA39" s="461"/>
      <c r="GB39" s="461"/>
      <c r="GC39" s="461"/>
      <c r="GD39" s="469"/>
      <c r="GE39" s="469"/>
      <c r="GF39" s="469"/>
      <c r="GG39" s="469"/>
      <c r="GH39" s="469"/>
      <c r="GI39" s="469"/>
      <c r="GJ39" s="469"/>
      <c r="GK39" s="469"/>
      <c r="GL39" s="469">
        <v>1.2872575695391093</v>
      </c>
      <c r="GM39" s="458"/>
      <c r="GN39" s="469"/>
      <c r="GO39" s="469"/>
      <c r="GP39" s="468"/>
    </row>
    <row r="40" spans="1:198" x14ac:dyDescent="0.25">
      <c r="A40" s="465" t="s">
        <v>2284</v>
      </c>
      <c r="B40" s="461"/>
      <c r="C40" s="461"/>
      <c r="D40" s="461"/>
      <c r="E40" s="461"/>
      <c r="F40" s="461"/>
      <c r="G40" s="461"/>
      <c r="H40" s="461"/>
      <c r="I40" s="461"/>
      <c r="J40" s="461"/>
      <c r="K40" s="461"/>
      <c r="L40" s="461"/>
      <c r="M40" s="461"/>
      <c r="N40" s="461"/>
      <c r="O40" s="461"/>
      <c r="P40" s="461"/>
      <c r="Q40" s="461"/>
      <c r="R40" s="461"/>
      <c r="S40" s="461"/>
      <c r="T40" s="461"/>
      <c r="U40" s="461"/>
      <c r="V40" s="461"/>
      <c r="W40" s="461"/>
      <c r="X40" s="461"/>
      <c r="Y40" s="461"/>
      <c r="Z40" s="461"/>
      <c r="AA40" s="461"/>
      <c r="AB40" s="461"/>
      <c r="AC40" s="461"/>
      <c r="AD40" s="461"/>
      <c r="AE40" s="461"/>
      <c r="AF40" s="461"/>
      <c r="AG40" s="461"/>
      <c r="AH40" s="461"/>
      <c r="AI40" s="461"/>
      <c r="AJ40" s="461"/>
      <c r="AK40" s="461"/>
      <c r="AL40" s="461"/>
      <c r="AM40" s="461"/>
      <c r="AN40" s="461"/>
      <c r="AO40" s="461"/>
      <c r="AP40" s="461"/>
      <c r="AQ40" s="461"/>
      <c r="AR40" s="461"/>
      <c r="AS40" s="461"/>
      <c r="AT40" s="461"/>
      <c r="AU40" s="461"/>
      <c r="AV40" s="461"/>
      <c r="AW40" s="461"/>
      <c r="AX40" s="461"/>
      <c r="AY40" s="461"/>
      <c r="AZ40" s="461"/>
      <c r="BA40" s="461"/>
      <c r="BB40" s="461"/>
      <c r="BC40" s="461"/>
      <c r="BD40" s="461"/>
      <c r="BE40" s="461"/>
      <c r="BF40" s="461"/>
      <c r="BG40" s="461"/>
      <c r="BH40" s="461"/>
      <c r="BI40" s="461"/>
      <c r="BJ40" s="461"/>
      <c r="BK40" s="461"/>
      <c r="BL40" s="461"/>
      <c r="BM40" s="461"/>
      <c r="BN40" s="461"/>
      <c r="BO40" s="461"/>
      <c r="BP40" s="461"/>
      <c r="BQ40" s="461"/>
      <c r="BR40" s="461"/>
      <c r="BS40" s="461"/>
      <c r="BT40" s="461"/>
      <c r="BU40" s="461"/>
      <c r="BV40" s="461"/>
      <c r="BW40" s="461"/>
      <c r="BX40" s="461"/>
      <c r="BY40" s="461"/>
      <c r="BZ40" s="461"/>
      <c r="CA40" s="461"/>
      <c r="CB40" s="461"/>
      <c r="CC40" s="461"/>
      <c r="CD40" s="461"/>
      <c r="CE40" s="461"/>
      <c r="CF40" s="461"/>
      <c r="CG40" s="461"/>
      <c r="CH40" s="461"/>
      <c r="CI40" s="461"/>
      <c r="CJ40" s="461"/>
      <c r="CK40" s="461"/>
      <c r="CL40" s="461"/>
      <c r="CM40" s="461"/>
      <c r="CN40" s="461"/>
      <c r="CO40" s="461"/>
      <c r="CP40" s="461"/>
      <c r="CQ40" s="461"/>
      <c r="CR40" s="461"/>
      <c r="CS40" s="461"/>
      <c r="CT40" s="461"/>
      <c r="CU40" s="461"/>
      <c r="CV40" s="461"/>
      <c r="CW40" s="461"/>
      <c r="CX40" s="461"/>
      <c r="CY40" s="461"/>
      <c r="CZ40" s="461"/>
      <c r="DA40" s="461"/>
      <c r="DB40" s="461"/>
      <c r="DC40" s="461"/>
      <c r="DD40" s="461"/>
      <c r="DE40" s="461"/>
      <c r="DF40" s="461"/>
      <c r="DG40" s="461"/>
      <c r="DH40" s="461">
        <v>35.133436802982409</v>
      </c>
      <c r="DI40" s="461"/>
      <c r="DJ40" s="461"/>
      <c r="DK40" s="461"/>
      <c r="DL40" s="461"/>
      <c r="DM40" s="461"/>
      <c r="DN40" s="461"/>
      <c r="DO40" s="461"/>
      <c r="DP40" s="461"/>
      <c r="DQ40" s="461"/>
      <c r="DR40" s="461"/>
      <c r="DS40" s="461"/>
      <c r="DT40" s="461"/>
      <c r="DU40" s="461"/>
      <c r="DV40" s="461"/>
      <c r="DW40" s="461"/>
      <c r="DX40" s="461"/>
      <c r="DY40" s="461"/>
      <c r="DZ40" s="461"/>
      <c r="EA40" s="461"/>
      <c r="EB40" s="461"/>
      <c r="EC40" s="461"/>
      <c r="ED40" s="461"/>
      <c r="EE40" s="461"/>
      <c r="EF40" s="461"/>
      <c r="EG40" s="461"/>
      <c r="EH40" s="461"/>
      <c r="EI40" s="461"/>
      <c r="EJ40" s="461"/>
      <c r="EK40" s="461"/>
      <c r="EL40" s="461"/>
      <c r="EM40" s="461"/>
      <c r="EN40" s="461"/>
      <c r="EO40" s="461"/>
      <c r="EP40" s="461"/>
      <c r="EQ40" s="461"/>
      <c r="ER40" s="461"/>
      <c r="ES40" s="461"/>
      <c r="ET40" s="461"/>
      <c r="EU40" s="461"/>
      <c r="EV40" s="461"/>
      <c r="EW40" s="461"/>
      <c r="EX40" s="461"/>
      <c r="EY40" s="461"/>
      <c r="EZ40" s="461"/>
      <c r="FA40" s="461"/>
      <c r="FB40" s="461"/>
      <c r="FC40" s="461"/>
      <c r="FD40" s="461"/>
      <c r="FE40" s="461"/>
      <c r="FF40" s="461"/>
      <c r="FG40" s="461"/>
      <c r="FH40" s="461"/>
      <c r="FI40" s="461"/>
      <c r="FJ40" s="461"/>
      <c r="FK40" s="461"/>
      <c r="FL40" s="461"/>
      <c r="FM40" s="461"/>
      <c r="FN40" s="461"/>
      <c r="FO40" s="461"/>
      <c r="FP40" s="461"/>
      <c r="FQ40" s="461"/>
      <c r="FR40" s="461"/>
      <c r="FS40" s="461"/>
      <c r="FT40" s="461"/>
      <c r="FU40" s="461"/>
      <c r="FV40" s="461"/>
      <c r="FW40" s="461"/>
      <c r="FX40" s="461"/>
      <c r="FY40" s="461"/>
      <c r="FZ40" s="461"/>
      <c r="GA40" s="461"/>
      <c r="GB40" s="461"/>
      <c r="GC40" s="461"/>
      <c r="GD40" s="469"/>
      <c r="GE40" s="469"/>
      <c r="GF40" s="469"/>
      <c r="GG40" s="469"/>
      <c r="GH40" s="469"/>
      <c r="GI40" s="469"/>
      <c r="GJ40" s="469"/>
      <c r="GK40" s="469"/>
      <c r="GL40" s="469">
        <v>35.133436802982409</v>
      </c>
      <c r="GM40" s="458"/>
      <c r="GN40" s="469"/>
      <c r="GO40" s="469"/>
      <c r="GP40" s="468"/>
    </row>
    <row r="41" spans="1:198" x14ac:dyDescent="0.25">
      <c r="A41" s="465" t="s">
        <v>1642</v>
      </c>
      <c r="B41" s="461"/>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c r="AA41" s="461"/>
      <c r="AB41" s="461"/>
      <c r="AC41" s="461"/>
      <c r="AD41" s="461"/>
      <c r="AE41" s="461"/>
      <c r="AF41" s="461"/>
      <c r="AG41" s="461"/>
      <c r="AH41" s="461"/>
      <c r="AI41" s="461"/>
      <c r="AJ41" s="461"/>
      <c r="AK41" s="461"/>
      <c r="AL41" s="461"/>
      <c r="AM41" s="461"/>
      <c r="AN41" s="461"/>
      <c r="AO41" s="461"/>
      <c r="AP41" s="461"/>
      <c r="AQ41" s="461"/>
      <c r="AR41" s="461"/>
      <c r="AS41" s="461"/>
      <c r="AT41" s="461"/>
      <c r="AU41" s="461"/>
      <c r="AV41" s="461"/>
      <c r="AW41" s="461"/>
      <c r="AX41" s="461"/>
      <c r="AY41" s="461"/>
      <c r="AZ41" s="461"/>
      <c r="BA41" s="461"/>
      <c r="BB41" s="461"/>
      <c r="BC41" s="461"/>
      <c r="BD41" s="461"/>
      <c r="BE41" s="461"/>
      <c r="BF41" s="461"/>
      <c r="BG41" s="461"/>
      <c r="BH41" s="461"/>
      <c r="BI41" s="461"/>
      <c r="BJ41" s="461"/>
      <c r="BK41" s="461"/>
      <c r="BL41" s="461"/>
      <c r="BM41" s="461"/>
      <c r="BN41" s="461"/>
      <c r="BO41" s="461"/>
      <c r="BP41" s="461"/>
      <c r="BQ41" s="461"/>
      <c r="BR41" s="461"/>
      <c r="BS41" s="461"/>
      <c r="BT41" s="461"/>
      <c r="BU41" s="461"/>
      <c r="BV41" s="461"/>
      <c r="BW41" s="461"/>
      <c r="BX41" s="461"/>
      <c r="BY41" s="461"/>
      <c r="BZ41" s="461"/>
      <c r="CA41" s="461"/>
      <c r="CB41" s="461"/>
      <c r="CC41" s="461"/>
      <c r="CD41" s="461"/>
      <c r="CE41" s="461"/>
      <c r="CF41" s="461"/>
      <c r="CG41" s="461"/>
      <c r="CH41" s="461"/>
      <c r="CI41" s="461"/>
      <c r="CJ41" s="461"/>
      <c r="CK41" s="461"/>
      <c r="CL41" s="461"/>
      <c r="CM41" s="461"/>
      <c r="CN41" s="461"/>
      <c r="CO41" s="461"/>
      <c r="CP41" s="461"/>
      <c r="CQ41" s="461"/>
      <c r="CR41" s="461"/>
      <c r="CS41" s="461"/>
      <c r="CT41" s="461"/>
      <c r="CU41" s="461"/>
      <c r="CV41" s="461"/>
      <c r="CW41" s="461"/>
      <c r="CX41" s="461"/>
      <c r="CY41" s="461"/>
      <c r="CZ41" s="461"/>
      <c r="DA41" s="461"/>
      <c r="DB41" s="461"/>
      <c r="DC41" s="461"/>
      <c r="DD41" s="461"/>
      <c r="DE41" s="461"/>
      <c r="DF41" s="461"/>
      <c r="DG41" s="461"/>
      <c r="DH41" s="461"/>
      <c r="DI41" s="461">
        <v>119.66970676133619</v>
      </c>
      <c r="DJ41" s="461"/>
      <c r="DK41" s="461"/>
      <c r="DL41" s="461"/>
      <c r="DM41" s="461"/>
      <c r="DN41" s="461"/>
      <c r="DO41" s="461"/>
      <c r="DP41" s="461"/>
      <c r="DQ41" s="461"/>
      <c r="DR41" s="461"/>
      <c r="DS41" s="461"/>
      <c r="DT41" s="461"/>
      <c r="DU41" s="461"/>
      <c r="DV41" s="461"/>
      <c r="DW41" s="461"/>
      <c r="DX41" s="461"/>
      <c r="DY41" s="461"/>
      <c r="DZ41" s="461"/>
      <c r="EA41" s="461"/>
      <c r="EB41" s="461"/>
      <c r="EC41" s="461"/>
      <c r="ED41" s="461"/>
      <c r="EE41" s="461"/>
      <c r="EF41" s="461"/>
      <c r="EG41" s="461"/>
      <c r="EH41" s="461"/>
      <c r="EI41" s="461"/>
      <c r="EJ41" s="461"/>
      <c r="EK41" s="461"/>
      <c r="EL41" s="461"/>
      <c r="EM41" s="461"/>
      <c r="EN41" s="461"/>
      <c r="EO41" s="461"/>
      <c r="EP41" s="461"/>
      <c r="EQ41" s="461"/>
      <c r="ER41" s="461"/>
      <c r="ES41" s="461"/>
      <c r="ET41" s="461"/>
      <c r="EU41" s="461"/>
      <c r="EV41" s="461"/>
      <c r="EW41" s="461"/>
      <c r="EX41" s="461"/>
      <c r="EY41" s="461"/>
      <c r="EZ41" s="461"/>
      <c r="FA41" s="461"/>
      <c r="FB41" s="461"/>
      <c r="FC41" s="461"/>
      <c r="FD41" s="461"/>
      <c r="FE41" s="461"/>
      <c r="FF41" s="461"/>
      <c r="FG41" s="461"/>
      <c r="FH41" s="461"/>
      <c r="FI41" s="461"/>
      <c r="FJ41" s="461"/>
      <c r="FK41" s="461"/>
      <c r="FL41" s="461"/>
      <c r="FM41" s="461"/>
      <c r="FN41" s="461"/>
      <c r="FO41" s="461"/>
      <c r="FP41" s="461"/>
      <c r="FQ41" s="461"/>
      <c r="FR41" s="461"/>
      <c r="FS41" s="461"/>
      <c r="FT41" s="461"/>
      <c r="FU41" s="461"/>
      <c r="FV41" s="461"/>
      <c r="FW41" s="461"/>
      <c r="FX41" s="461"/>
      <c r="FY41" s="461"/>
      <c r="FZ41" s="461"/>
      <c r="GA41" s="461"/>
      <c r="GB41" s="461"/>
      <c r="GC41" s="461"/>
      <c r="GD41" s="469"/>
      <c r="GE41" s="469"/>
      <c r="GF41" s="469"/>
      <c r="GG41" s="469"/>
      <c r="GH41" s="469"/>
      <c r="GI41" s="469"/>
      <c r="GJ41" s="469"/>
      <c r="GK41" s="469"/>
      <c r="GL41" s="469">
        <v>119.66970676133619</v>
      </c>
      <c r="GM41" s="458"/>
      <c r="GN41" s="469"/>
      <c r="GO41" s="469"/>
      <c r="GP41" s="468"/>
    </row>
    <row r="42" spans="1:198" x14ac:dyDescent="0.25">
      <c r="A42" s="465" t="s">
        <v>1641</v>
      </c>
      <c r="B42" s="461"/>
      <c r="C42" s="461"/>
      <c r="D42" s="461"/>
      <c r="E42" s="461"/>
      <c r="F42" s="461"/>
      <c r="G42" s="461"/>
      <c r="H42" s="461"/>
      <c r="I42" s="461"/>
      <c r="J42" s="461"/>
      <c r="K42" s="461"/>
      <c r="L42" s="461"/>
      <c r="M42" s="461"/>
      <c r="N42" s="461"/>
      <c r="O42" s="461"/>
      <c r="P42" s="461"/>
      <c r="Q42" s="461"/>
      <c r="R42" s="461"/>
      <c r="S42" s="461"/>
      <c r="T42" s="461"/>
      <c r="U42" s="461"/>
      <c r="V42" s="461"/>
      <c r="W42" s="461"/>
      <c r="X42" s="461"/>
      <c r="Y42" s="461"/>
      <c r="Z42" s="461"/>
      <c r="AA42" s="461"/>
      <c r="AB42" s="461"/>
      <c r="AC42" s="461"/>
      <c r="AD42" s="461"/>
      <c r="AE42" s="461"/>
      <c r="AF42" s="461"/>
      <c r="AG42" s="461"/>
      <c r="AH42" s="461"/>
      <c r="AI42" s="461"/>
      <c r="AJ42" s="461"/>
      <c r="AK42" s="461"/>
      <c r="AL42" s="461"/>
      <c r="AM42" s="461"/>
      <c r="AN42" s="461"/>
      <c r="AO42" s="461"/>
      <c r="AP42" s="461"/>
      <c r="AQ42" s="461"/>
      <c r="AR42" s="461"/>
      <c r="AS42" s="461"/>
      <c r="AT42" s="461"/>
      <c r="AU42" s="461"/>
      <c r="AV42" s="461"/>
      <c r="AW42" s="461"/>
      <c r="AX42" s="461"/>
      <c r="AY42" s="461"/>
      <c r="AZ42" s="461"/>
      <c r="BA42" s="461"/>
      <c r="BB42" s="461"/>
      <c r="BC42" s="461"/>
      <c r="BD42" s="461"/>
      <c r="BE42" s="461"/>
      <c r="BF42" s="461"/>
      <c r="BG42" s="461"/>
      <c r="BH42" s="461"/>
      <c r="BI42" s="461"/>
      <c r="BJ42" s="461"/>
      <c r="BK42" s="461"/>
      <c r="BL42" s="461"/>
      <c r="BM42" s="461"/>
      <c r="BN42" s="461"/>
      <c r="BO42" s="461"/>
      <c r="BP42" s="461"/>
      <c r="BQ42" s="461"/>
      <c r="BR42" s="461"/>
      <c r="BS42" s="461"/>
      <c r="BT42" s="461"/>
      <c r="BU42" s="461"/>
      <c r="BV42" s="461"/>
      <c r="BW42" s="461"/>
      <c r="BX42" s="461"/>
      <c r="BY42" s="461"/>
      <c r="BZ42" s="461"/>
      <c r="CA42" s="461"/>
      <c r="CB42" s="461"/>
      <c r="CC42" s="461"/>
      <c r="CD42" s="461"/>
      <c r="CE42" s="461"/>
      <c r="CF42" s="461"/>
      <c r="CG42" s="461"/>
      <c r="CH42" s="461"/>
      <c r="CI42" s="461"/>
      <c r="CJ42" s="461"/>
      <c r="CK42" s="461"/>
      <c r="CL42" s="461"/>
      <c r="CM42" s="461"/>
      <c r="CN42" s="461"/>
      <c r="CO42" s="461"/>
      <c r="CP42" s="461"/>
      <c r="CQ42" s="461"/>
      <c r="CR42" s="461"/>
      <c r="CS42" s="461"/>
      <c r="CT42" s="461"/>
      <c r="CU42" s="461"/>
      <c r="CV42" s="461"/>
      <c r="CW42" s="461"/>
      <c r="CX42" s="461"/>
      <c r="CY42" s="461"/>
      <c r="CZ42" s="461"/>
      <c r="DA42" s="461"/>
      <c r="DB42" s="461"/>
      <c r="DC42" s="461"/>
      <c r="DD42" s="461"/>
      <c r="DE42" s="461"/>
      <c r="DF42" s="461"/>
      <c r="DG42" s="461"/>
      <c r="DH42" s="461"/>
      <c r="DI42" s="461"/>
      <c r="DJ42" s="461">
        <v>44.600790478776162</v>
      </c>
      <c r="DK42" s="461"/>
      <c r="DL42" s="461"/>
      <c r="DM42" s="461"/>
      <c r="DN42" s="461"/>
      <c r="DO42" s="461"/>
      <c r="DP42" s="461"/>
      <c r="DQ42" s="461"/>
      <c r="DR42" s="461"/>
      <c r="DS42" s="461"/>
      <c r="DT42" s="461"/>
      <c r="DU42" s="461"/>
      <c r="DV42" s="461"/>
      <c r="DW42" s="461"/>
      <c r="DX42" s="461"/>
      <c r="DY42" s="461"/>
      <c r="DZ42" s="461"/>
      <c r="EA42" s="461"/>
      <c r="EB42" s="461"/>
      <c r="EC42" s="461"/>
      <c r="ED42" s="461"/>
      <c r="EE42" s="461"/>
      <c r="EF42" s="461"/>
      <c r="EG42" s="461"/>
      <c r="EH42" s="461"/>
      <c r="EI42" s="461"/>
      <c r="EJ42" s="461"/>
      <c r="EK42" s="461"/>
      <c r="EL42" s="461"/>
      <c r="EM42" s="461"/>
      <c r="EN42" s="461"/>
      <c r="EO42" s="461"/>
      <c r="EP42" s="461"/>
      <c r="EQ42" s="461"/>
      <c r="ER42" s="461"/>
      <c r="ES42" s="461"/>
      <c r="ET42" s="461"/>
      <c r="EU42" s="461"/>
      <c r="EV42" s="461"/>
      <c r="EW42" s="461"/>
      <c r="EX42" s="461"/>
      <c r="EY42" s="461"/>
      <c r="EZ42" s="461"/>
      <c r="FA42" s="461"/>
      <c r="FB42" s="461"/>
      <c r="FC42" s="461"/>
      <c r="FD42" s="461"/>
      <c r="FE42" s="461"/>
      <c r="FF42" s="461"/>
      <c r="FG42" s="461"/>
      <c r="FH42" s="461"/>
      <c r="FI42" s="461"/>
      <c r="FJ42" s="461"/>
      <c r="FK42" s="461"/>
      <c r="FL42" s="461"/>
      <c r="FM42" s="461"/>
      <c r="FN42" s="461"/>
      <c r="FO42" s="461"/>
      <c r="FP42" s="461"/>
      <c r="FQ42" s="461"/>
      <c r="FR42" s="461"/>
      <c r="FS42" s="461"/>
      <c r="FT42" s="461"/>
      <c r="FU42" s="461"/>
      <c r="FV42" s="461"/>
      <c r="FW42" s="461"/>
      <c r="FX42" s="461"/>
      <c r="FY42" s="461"/>
      <c r="FZ42" s="461"/>
      <c r="GA42" s="461"/>
      <c r="GB42" s="461"/>
      <c r="GC42" s="461"/>
      <c r="GD42" s="469"/>
      <c r="GE42" s="469"/>
      <c r="GF42" s="469"/>
      <c r="GG42" s="469"/>
      <c r="GH42" s="469"/>
      <c r="GI42" s="469"/>
      <c r="GJ42" s="469"/>
      <c r="GK42" s="469"/>
      <c r="GL42" s="469">
        <v>44.600790478776162</v>
      </c>
      <c r="GM42" s="458"/>
      <c r="GN42" s="469"/>
      <c r="GO42" s="469"/>
      <c r="GP42" s="468"/>
    </row>
    <row r="43" spans="1:198" x14ac:dyDescent="0.25">
      <c r="A43" s="465" t="s">
        <v>1640</v>
      </c>
      <c r="B43" s="461"/>
      <c r="C43" s="461"/>
      <c r="D43" s="461"/>
      <c r="E43" s="461"/>
      <c r="F43" s="461"/>
      <c r="G43" s="461"/>
      <c r="H43" s="461"/>
      <c r="I43" s="461"/>
      <c r="J43" s="461"/>
      <c r="K43" s="461"/>
      <c r="L43" s="461"/>
      <c r="M43" s="461"/>
      <c r="N43" s="461"/>
      <c r="O43" s="461"/>
      <c r="P43" s="461"/>
      <c r="Q43" s="461"/>
      <c r="R43" s="461"/>
      <c r="S43" s="461"/>
      <c r="T43" s="461"/>
      <c r="U43" s="461"/>
      <c r="V43" s="461"/>
      <c r="W43" s="461"/>
      <c r="X43" s="461"/>
      <c r="Y43" s="461"/>
      <c r="Z43" s="461"/>
      <c r="AA43" s="461"/>
      <c r="AB43" s="461"/>
      <c r="AC43" s="461"/>
      <c r="AD43" s="461"/>
      <c r="AE43" s="461"/>
      <c r="AF43" s="461"/>
      <c r="AG43" s="461"/>
      <c r="AH43" s="461"/>
      <c r="AI43" s="461"/>
      <c r="AJ43" s="461"/>
      <c r="AK43" s="461"/>
      <c r="AL43" s="461"/>
      <c r="AM43" s="461"/>
      <c r="AN43" s="461"/>
      <c r="AO43" s="461"/>
      <c r="AP43" s="461"/>
      <c r="AQ43" s="461"/>
      <c r="AR43" s="461"/>
      <c r="AS43" s="461"/>
      <c r="AT43" s="461"/>
      <c r="AU43" s="461"/>
      <c r="AV43" s="461"/>
      <c r="AW43" s="461"/>
      <c r="AX43" s="461"/>
      <c r="AY43" s="461"/>
      <c r="AZ43" s="461"/>
      <c r="BA43" s="461"/>
      <c r="BB43" s="461"/>
      <c r="BC43" s="461"/>
      <c r="BD43" s="461"/>
      <c r="BE43" s="461"/>
      <c r="BF43" s="461"/>
      <c r="BG43" s="461"/>
      <c r="BH43" s="461"/>
      <c r="BI43" s="461"/>
      <c r="BJ43" s="461"/>
      <c r="BK43" s="461"/>
      <c r="BL43" s="461"/>
      <c r="BM43" s="461"/>
      <c r="BN43" s="461"/>
      <c r="BO43" s="461"/>
      <c r="BP43" s="461"/>
      <c r="BQ43" s="461"/>
      <c r="BR43" s="461"/>
      <c r="BS43" s="461"/>
      <c r="BT43" s="461"/>
      <c r="BU43" s="461"/>
      <c r="BV43" s="461"/>
      <c r="BW43" s="461"/>
      <c r="BX43" s="461"/>
      <c r="BY43" s="461"/>
      <c r="BZ43" s="461"/>
      <c r="CA43" s="461"/>
      <c r="CB43" s="461"/>
      <c r="CC43" s="461"/>
      <c r="CD43" s="461"/>
      <c r="CE43" s="461"/>
      <c r="CF43" s="461"/>
      <c r="CG43" s="461"/>
      <c r="CH43" s="461"/>
      <c r="CI43" s="461"/>
      <c r="CJ43" s="461"/>
      <c r="CK43" s="461"/>
      <c r="CL43" s="461"/>
      <c r="CM43" s="461"/>
      <c r="CN43" s="461"/>
      <c r="CO43" s="461"/>
      <c r="CP43" s="461"/>
      <c r="CQ43" s="461"/>
      <c r="CR43" s="461"/>
      <c r="CS43" s="461"/>
      <c r="CT43" s="461"/>
      <c r="CU43" s="461"/>
      <c r="CV43" s="461"/>
      <c r="CW43" s="461"/>
      <c r="CX43" s="461"/>
      <c r="CY43" s="461"/>
      <c r="CZ43" s="461"/>
      <c r="DA43" s="461"/>
      <c r="DB43" s="461"/>
      <c r="DC43" s="461"/>
      <c r="DD43" s="461"/>
      <c r="DE43" s="461"/>
      <c r="DF43" s="461"/>
      <c r="DG43" s="461"/>
      <c r="DH43" s="461"/>
      <c r="DI43" s="461"/>
      <c r="DJ43" s="461"/>
      <c r="DK43" s="461">
        <v>46.496046272515635</v>
      </c>
      <c r="DL43" s="461"/>
      <c r="DM43" s="461"/>
      <c r="DN43" s="461"/>
      <c r="DO43" s="461"/>
      <c r="DP43" s="461"/>
      <c r="DQ43" s="461"/>
      <c r="DR43" s="461"/>
      <c r="DS43" s="461"/>
      <c r="DT43" s="461"/>
      <c r="DU43" s="461"/>
      <c r="DV43" s="461"/>
      <c r="DW43" s="461"/>
      <c r="DX43" s="461"/>
      <c r="DY43" s="461"/>
      <c r="DZ43" s="461"/>
      <c r="EA43" s="461"/>
      <c r="EB43" s="461"/>
      <c r="EC43" s="461"/>
      <c r="ED43" s="461"/>
      <c r="EE43" s="461"/>
      <c r="EF43" s="461"/>
      <c r="EG43" s="461"/>
      <c r="EH43" s="461"/>
      <c r="EI43" s="461"/>
      <c r="EJ43" s="461"/>
      <c r="EK43" s="461"/>
      <c r="EL43" s="461"/>
      <c r="EM43" s="461"/>
      <c r="EN43" s="461"/>
      <c r="EO43" s="461"/>
      <c r="EP43" s="461"/>
      <c r="EQ43" s="461"/>
      <c r="ER43" s="461"/>
      <c r="ES43" s="461"/>
      <c r="ET43" s="461"/>
      <c r="EU43" s="461"/>
      <c r="EV43" s="461"/>
      <c r="EW43" s="461"/>
      <c r="EX43" s="461"/>
      <c r="EY43" s="461"/>
      <c r="EZ43" s="461"/>
      <c r="FA43" s="461"/>
      <c r="FB43" s="461"/>
      <c r="FC43" s="461"/>
      <c r="FD43" s="461"/>
      <c r="FE43" s="461"/>
      <c r="FF43" s="461"/>
      <c r="FG43" s="461"/>
      <c r="FH43" s="461"/>
      <c r="FI43" s="461"/>
      <c r="FJ43" s="461"/>
      <c r="FK43" s="461"/>
      <c r="FL43" s="461"/>
      <c r="FM43" s="461"/>
      <c r="FN43" s="461"/>
      <c r="FO43" s="461"/>
      <c r="FP43" s="461"/>
      <c r="FQ43" s="461"/>
      <c r="FR43" s="461"/>
      <c r="FS43" s="461"/>
      <c r="FT43" s="461"/>
      <c r="FU43" s="461"/>
      <c r="FV43" s="461"/>
      <c r="FW43" s="461"/>
      <c r="FX43" s="461"/>
      <c r="FY43" s="461"/>
      <c r="FZ43" s="461"/>
      <c r="GA43" s="461"/>
      <c r="GB43" s="461"/>
      <c r="GC43" s="461"/>
      <c r="GD43" s="469"/>
      <c r="GE43" s="469"/>
      <c r="GF43" s="469"/>
      <c r="GG43" s="469"/>
      <c r="GH43" s="469"/>
      <c r="GI43" s="469"/>
      <c r="GJ43" s="469"/>
      <c r="GK43" s="469"/>
      <c r="GL43" s="469">
        <v>46.496046272515635</v>
      </c>
      <c r="GM43" s="458"/>
      <c r="GN43" s="469"/>
      <c r="GO43" s="469"/>
      <c r="GP43" s="468"/>
    </row>
    <row r="44" spans="1:198" x14ac:dyDescent="0.25">
      <c r="A44" s="465" t="s">
        <v>1639</v>
      </c>
      <c r="B44" s="461"/>
      <c r="C44" s="461"/>
      <c r="D44" s="461"/>
      <c r="E44" s="461"/>
      <c r="F44" s="461"/>
      <c r="G44" s="461"/>
      <c r="H44" s="461"/>
      <c r="I44" s="461"/>
      <c r="J44" s="461"/>
      <c r="K44" s="461"/>
      <c r="L44" s="461"/>
      <c r="M44" s="461"/>
      <c r="N44" s="461"/>
      <c r="O44" s="461"/>
      <c r="P44" s="461"/>
      <c r="Q44" s="461"/>
      <c r="R44" s="461"/>
      <c r="S44" s="461"/>
      <c r="T44" s="461"/>
      <c r="U44" s="461"/>
      <c r="V44" s="461"/>
      <c r="W44" s="461"/>
      <c r="X44" s="461"/>
      <c r="Y44" s="461"/>
      <c r="Z44" s="461"/>
      <c r="AA44" s="461"/>
      <c r="AB44" s="461"/>
      <c r="AC44" s="461"/>
      <c r="AD44" s="461"/>
      <c r="AE44" s="461"/>
      <c r="AF44" s="461"/>
      <c r="AG44" s="461"/>
      <c r="AH44" s="461"/>
      <c r="AI44" s="461"/>
      <c r="AJ44" s="461"/>
      <c r="AK44" s="461"/>
      <c r="AL44" s="461"/>
      <c r="AM44" s="461"/>
      <c r="AN44" s="461"/>
      <c r="AO44" s="461"/>
      <c r="AP44" s="461"/>
      <c r="AQ44" s="461"/>
      <c r="AR44" s="461"/>
      <c r="AS44" s="461"/>
      <c r="AT44" s="461"/>
      <c r="AU44" s="461"/>
      <c r="AV44" s="461"/>
      <c r="AW44" s="461"/>
      <c r="AX44" s="461"/>
      <c r="AY44" s="461"/>
      <c r="AZ44" s="461"/>
      <c r="BA44" s="461"/>
      <c r="BB44" s="461"/>
      <c r="BC44" s="461"/>
      <c r="BD44" s="461"/>
      <c r="BE44" s="461"/>
      <c r="BF44" s="461"/>
      <c r="BG44" s="461"/>
      <c r="BH44" s="461"/>
      <c r="BI44" s="461"/>
      <c r="BJ44" s="461"/>
      <c r="BK44" s="461"/>
      <c r="BL44" s="461"/>
      <c r="BM44" s="461"/>
      <c r="BN44" s="461"/>
      <c r="BO44" s="461"/>
      <c r="BP44" s="461"/>
      <c r="BQ44" s="461"/>
      <c r="BR44" s="461"/>
      <c r="BS44" s="461"/>
      <c r="BT44" s="461"/>
      <c r="BU44" s="461"/>
      <c r="BV44" s="461"/>
      <c r="BW44" s="461"/>
      <c r="BX44" s="461"/>
      <c r="BY44" s="461"/>
      <c r="BZ44" s="461"/>
      <c r="CA44" s="461"/>
      <c r="CB44" s="461"/>
      <c r="CC44" s="461"/>
      <c r="CD44" s="461"/>
      <c r="CE44" s="461"/>
      <c r="CF44" s="461"/>
      <c r="CG44" s="461"/>
      <c r="CH44" s="461"/>
      <c r="CI44" s="461"/>
      <c r="CJ44" s="461"/>
      <c r="CK44" s="461"/>
      <c r="CL44" s="461"/>
      <c r="CM44" s="461"/>
      <c r="CN44" s="461"/>
      <c r="CO44" s="461"/>
      <c r="CP44" s="461"/>
      <c r="CQ44" s="461"/>
      <c r="CR44" s="461"/>
      <c r="CS44" s="461"/>
      <c r="CT44" s="461"/>
      <c r="CU44" s="461"/>
      <c r="CV44" s="461"/>
      <c r="CW44" s="461"/>
      <c r="CX44" s="461"/>
      <c r="CY44" s="461"/>
      <c r="CZ44" s="461"/>
      <c r="DA44" s="461"/>
      <c r="DB44" s="461"/>
      <c r="DC44" s="461"/>
      <c r="DD44" s="461"/>
      <c r="DE44" s="461"/>
      <c r="DF44" s="461"/>
      <c r="DG44" s="461"/>
      <c r="DH44" s="461"/>
      <c r="DI44" s="461"/>
      <c r="DJ44" s="461"/>
      <c r="DK44" s="461"/>
      <c r="DL44" s="461">
        <v>13.611422236674825</v>
      </c>
      <c r="DM44" s="461"/>
      <c r="DN44" s="461"/>
      <c r="DO44" s="461"/>
      <c r="DP44" s="461"/>
      <c r="DQ44" s="461"/>
      <c r="DR44" s="461"/>
      <c r="DS44" s="461"/>
      <c r="DT44" s="461"/>
      <c r="DU44" s="461"/>
      <c r="DV44" s="461"/>
      <c r="DW44" s="461"/>
      <c r="DX44" s="461"/>
      <c r="DY44" s="461"/>
      <c r="DZ44" s="461"/>
      <c r="EA44" s="461"/>
      <c r="EB44" s="461"/>
      <c r="EC44" s="461"/>
      <c r="ED44" s="461"/>
      <c r="EE44" s="461"/>
      <c r="EF44" s="461"/>
      <c r="EG44" s="461"/>
      <c r="EH44" s="461"/>
      <c r="EI44" s="461"/>
      <c r="EJ44" s="461"/>
      <c r="EK44" s="461"/>
      <c r="EL44" s="461"/>
      <c r="EM44" s="461"/>
      <c r="EN44" s="461"/>
      <c r="EO44" s="461"/>
      <c r="EP44" s="461"/>
      <c r="EQ44" s="461"/>
      <c r="ER44" s="461"/>
      <c r="ES44" s="461"/>
      <c r="ET44" s="461"/>
      <c r="EU44" s="461"/>
      <c r="EV44" s="461"/>
      <c r="EW44" s="461"/>
      <c r="EX44" s="461"/>
      <c r="EY44" s="461"/>
      <c r="EZ44" s="461"/>
      <c r="FA44" s="461"/>
      <c r="FB44" s="461"/>
      <c r="FC44" s="461"/>
      <c r="FD44" s="461"/>
      <c r="FE44" s="461"/>
      <c r="FF44" s="461"/>
      <c r="FG44" s="461"/>
      <c r="FH44" s="461"/>
      <c r="FI44" s="461"/>
      <c r="FJ44" s="461"/>
      <c r="FK44" s="461"/>
      <c r="FL44" s="461"/>
      <c r="FM44" s="461"/>
      <c r="FN44" s="461"/>
      <c r="FO44" s="461"/>
      <c r="FP44" s="461"/>
      <c r="FQ44" s="461"/>
      <c r="FR44" s="461"/>
      <c r="FS44" s="461"/>
      <c r="FT44" s="461"/>
      <c r="FU44" s="461"/>
      <c r="FV44" s="461"/>
      <c r="FW44" s="461"/>
      <c r="FX44" s="461"/>
      <c r="FY44" s="461"/>
      <c r="FZ44" s="461"/>
      <c r="GA44" s="461"/>
      <c r="GB44" s="461"/>
      <c r="GC44" s="461"/>
      <c r="GD44" s="469"/>
      <c r="GE44" s="469"/>
      <c r="GF44" s="469"/>
      <c r="GG44" s="469"/>
      <c r="GH44" s="469"/>
      <c r="GI44" s="469"/>
      <c r="GJ44" s="469"/>
      <c r="GK44" s="469"/>
      <c r="GL44" s="469">
        <v>13.611422236674825</v>
      </c>
      <c r="GM44" s="458"/>
      <c r="GN44" s="469"/>
      <c r="GO44" s="469"/>
      <c r="GP44" s="468"/>
    </row>
    <row r="45" spans="1:198" x14ac:dyDescent="0.25">
      <c r="A45" s="465" t="s">
        <v>1638</v>
      </c>
      <c r="B45" s="461"/>
      <c r="C45" s="461"/>
      <c r="D45" s="461"/>
      <c r="E45" s="461"/>
      <c r="F45" s="461"/>
      <c r="G45" s="461"/>
      <c r="H45" s="461"/>
      <c r="I45" s="461"/>
      <c r="J45" s="461"/>
      <c r="K45" s="461"/>
      <c r="L45" s="461"/>
      <c r="M45" s="461"/>
      <c r="N45" s="461"/>
      <c r="O45" s="461"/>
      <c r="P45" s="461"/>
      <c r="Q45" s="461"/>
      <c r="R45" s="461"/>
      <c r="S45" s="461"/>
      <c r="T45" s="461"/>
      <c r="U45" s="461"/>
      <c r="V45" s="461"/>
      <c r="W45" s="461"/>
      <c r="X45" s="461"/>
      <c r="Y45" s="461"/>
      <c r="Z45" s="461"/>
      <c r="AA45" s="461"/>
      <c r="AB45" s="461"/>
      <c r="AC45" s="461"/>
      <c r="AD45" s="461"/>
      <c r="AE45" s="461"/>
      <c r="AF45" s="461"/>
      <c r="AG45" s="461"/>
      <c r="AH45" s="461"/>
      <c r="AI45" s="461"/>
      <c r="AJ45" s="461"/>
      <c r="AK45" s="461"/>
      <c r="AL45" s="461"/>
      <c r="AM45" s="461"/>
      <c r="AN45" s="461"/>
      <c r="AO45" s="461"/>
      <c r="AP45" s="461"/>
      <c r="AQ45" s="461"/>
      <c r="AR45" s="461"/>
      <c r="AS45" s="461"/>
      <c r="AT45" s="461"/>
      <c r="AU45" s="461"/>
      <c r="AV45" s="461"/>
      <c r="AW45" s="461"/>
      <c r="AX45" s="461"/>
      <c r="AY45" s="461"/>
      <c r="AZ45" s="461"/>
      <c r="BA45" s="461"/>
      <c r="BB45" s="461"/>
      <c r="BC45" s="461"/>
      <c r="BD45" s="461"/>
      <c r="BE45" s="461"/>
      <c r="BF45" s="461"/>
      <c r="BG45" s="461"/>
      <c r="BH45" s="461"/>
      <c r="BI45" s="461"/>
      <c r="BJ45" s="461"/>
      <c r="BK45" s="461"/>
      <c r="BL45" s="461"/>
      <c r="BM45" s="461"/>
      <c r="BN45" s="461"/>
      <c r="BO45" s="461"/>
      <c r="BP45" s="461"/>
      <c r="BQ45" s="461"/>
      <c r="BR45" s="461"/>
      <c r="BS45" s="461"/>
      <c r="BT45" s="461"/>
      <c r="BU45" s="461"/>
      <c r="BV45" s="461"/>
      <c r="BW45" s="461"/>
      <c r="BX45" s="461"/>
      <c r="BY45" s="461"/>
      <c r="BZ45" s="461"/>
      <c r="CA45" s="461"/>
      <c r="CB45" s="461"/>
      <c r="CC45" s="461"/>
      <c r="CD45" s="461"/>
      <c r="CE45" s="461"/>
      <c r="CF45" s="461"/>
      <c r="CG45" s="461"/>
      <c r="CH45" s="461"/>
      <c r="CI45" s="461"/>
      <c r="CJ45" s="461"/>
      <c r="CK45" s="461"/>
      <c r="CL45" s="461"/>
      <c r="CM45" s="461"/>
      <c r="CN45" s="461"/>
      <c r="CO45" s="461"/>
      <c r="CP45" s="461"/>
      <c r="CQ45" s="461"/>
      <c r="CR45" s="461"/>
      <c r="CS45" s="461"/>
      <c r="CT45" s="461"/>
      <c r="CU45" s="461"/>
      <c r="CV45" s="461"/>
      <c r="CW45" s="461"/>
      <c r="CX45" s="461"/>
      <c r="CY45" s="461"/>
      <c r="CZ45" s="461"/>
      <c r="DA45" s="461"/>
      <c r="DB45" s="461"/>
      <c r="DC45" s="461"/>
      <c r="DD45" s="461"/>
      <c r="DE45" s="461"/>
      <c r="DF45" s="461"/>
      <c r="DG45" s="461"/>
      <c r="DH45" s="461"/>
      <c r="DI45" s="461"/>
      <c r="DJ45" s="461"/>
      <c r="DK45" s="461"/>
      <c r="DL45" s="461"/>
      <c r="DM45" s="461">
        <v>11.506898653544679</v>
      </c>
      <c r="DN45" s="461"/>
      <c r="DO45" s="461"/>
      <c r="DP45" s="461"/>
      <c r="DQ45" s="461"/>
      <c r="DR45" s="461"/>
      <c r="DS45" s="461"/>
      <c r="DT45" s="461"/>
      <c r="DU45" s="461"/>
      <c r="DV45" s="461"/>
      <c r="DW45" s="461"/>
      <c r="DX45" s="461"/>
      <c r="DY45" s="461"/>
      <c r="DZ45" s="461"/>
      <c r="EA45" s="461"/>
      <c r="EB45" s="461"/>
      <c r="EC45" s="461"/>
      <c r="ED45" s="461"/>
      <c r="EE45" s="461"/>
      <c r="EF45" s="461"/>
      <c r="EG45" s="461"/>
      <c r="EH45" s="461"/>
      <c r="EI45" s="461"/>
      <c r="EJ45" s="461"/>
      <c r="EK45" s="461"/>
      <c r="EL45" s="461"/>
      <c r="EM45" s="461"/>
      <c r="EN45" s="461"/>
      <c r="EO45" s="461"/>
      <c r="EP45" s="461"/>
      <c r="EQ45" s="461"/>
      <c r="ER45" s="461"/>
      <c r="ES45" s="461"/>
      <c r="ET45" s="461"/>
      <c r="EU45" s="461"/>
      <c r="EV45" s="461"/>
      <c r="EW45" s="461"/>
      <c r="EX45" s="461"/>
      <c r="EY45" s="461"/>
      <c r="EZ45" s="461"/>
      <c r="FA45" s="461"/>
      <c r="FB45" s="461"/>
      <c r="FC45" s="461"/>
      <c r="FD45" s="461"/>
      <c r="FE45" s="461"/>
      <c r="FF45" s="461"/>
      <c r="FG45" s="461"/>
      <c r="FH45" s="461"/>
      <c r="FI45" s="461"/>
      <c r="FJ45" s="461"/>
      <c r="FK45" s="461"/>
      <c r="FL45" s="461"/>
      <c r="FM45" s="461"/>
      <c r="FN45" s="461"/>
      <c r="FO45" s="461"/>
      <c r="FP45" s="461"/>
      <c r="FQ45" s="461"/>
      <c r="FR45" s="461"/>
      <c r="FS45" s="461"/>
      <c r="FT45" s="461"/>
      <c r="FU45" s="461"/>
      <c r="FV45" s="461"/>
      <c r="FW45" s="461"/>
      <c r="FX45" s="461"/>
      <c r="FY45" s="461"/>
      <c r="FZ45" s="461"/>
      <c r="GA45" s="461"/>
      <c r="GB45" s="461"/>
      <c r="GC45" s="461"/>
      <c r="GD45" s="469"/>
      <c r="GE45" s="469"/>
      <c r="GF45" s="469"/>
      <c r="GG45" s="469"/>
      <c r="GH45" s="469"/>
      <c r="GI45" s="469"/>
      <c r="GJ45" s="469"/>
      <c r="GK45" s="469"/>
      <c r="GL45" s="469">
        <v>11.506898653544679</v>
      </c>
      <c r="GM45" s="458"/>
      <c r="GN45" s="469"/>
      <c r="GO45" s="469"/>
      <c r="GP45" s="468"/>
    </row>
    <row r="46" spans="1:198" x14ac:dyDescent="0.25">
      <c r="A46" s="465" t="s">
        <v>1637</v>
      </c>
      <c r="B46" s="461"/>
      <c r="C46" s="461"/>
      <c r="D46" s="461"/>
      <c r="E46" s="461"/>
      <c r="F46" s="461"/>
      <c r="G46" s="461"/>
      <c r="H46" s="461"/>
      <c r="I46" s="461"/>
      <c r="J46" s="461"/>
      <c r="K46" s="461"/>
      <c r="L46" s="461"/>
      <c r="M46" s="461"/>
      <c r="N46" s="461"/>
      <c r="O46" s="461"/>
      <c r="P46" s="461"/>
      <c r="Q46" s="461"/>
      <c r="R46" s="461"/>
      <c r="S46" s="461"/>
      <c r="T46" s="461"/>
      <c r="U46" s="461"/>
      <c r="V46" s="461"/>
      <c r="W46" s="461"/>
      <c r="X46" s="461"/>
      <c r="Y46" s="461"/>
      <c r="Z46" s="461"/>
      <c r="AA46" s="461"/>
      <c r="AB46" s="461"/>
      <c r="AC46" s="461"/>
      <c r="AD46" s="461"/>
      <c r="AE46" s="461"/>
      <c r="AF46" s="461"/>
      <c r="AG46" s="461"/>
      <c r="AH46" s="461"/>
      <c r="AI46" s="461"/>
      <c r="AJ46" s="461"/>
      <c r="AK46" s="461"/>
      <c r="AL46" s="461"/>
      <c r="AM46" s="461"/>
      <c r="AN46" s="461"/>
      <c r="AO46" s="461"/>
      <c r="AP46" s="461"/>
      <c r="AQ46" s="461"/>
      <c r="AR46" s="461"/>
      <c r="AS46" s="461"/>
      <c r="AT46" s="461"/>
      <c r="AU46" s="461"/>
      <c r="AV46" s="461"/>
      <c r="AW46" s="461"/>
      <c r="AX46" s="461"/>
      <c r="AY46" s="461"/>
      <c r="AZ46" s="461"/>
      <c r="BA46" s="461"/>
      <c r="BB46" s="461"/>
      <c r="BC46" s="461"/>
      <c r="BD46" s="461"/>
      <c r="BE46" s="461"/>
      <c r="BF46" s="461"/>
      <c r="BG46" s="461"/>
      <c r="BH46" s="461"/>
      <c r="BI46" s="461"/>
      <c r="BJ46" s="461"/>
      <c r="BK46" s="461"/>
      <c r="BL46" s="461"/>
      <c r="BM46" s="461"/>
      <c r="BN46" s="461"/>
      <c r="BO46" s="461"/>
      <c r="BP46" s="461"/>
      <c r="BQ46" s="461"/>
      <c r="BR46" s="461"/>
      <c r="BS46" s="461"/>
      <c r="BT46" s="461"/>
      <c r="BU46" s="461"/>
      <c r="BV46" s="461"/>
      <c r="BW46" s="461"/>
      <c r="BX46" s="461"/>
      <c r="BY46" s="461"/>
      <c r="BZ46" s="461"/>
      <c r="CA46" s="461"/>
      <c r="CB46" s="461"/>
      <c r="CC46" s="461"/>
      <c r="CD46" s="461"/>
      <c r="CE46" s="461"/>
      <c r="CF46" s="461"/>
      <c r="CG46" s="461"/>
      <c r="CH46" s="461"/>
      <c r="CI46" s="461"/>
      <c r="CJ46" s="461"/>
      <c r="CK46" s="461"/>
      <c r="CL46" s="461"/>
      <c r="CM46" s="461"/>
      <c r="CN46" s="461"/>
      <c r="CO46" s="461"/>
      <c r="CP46" s="461"/>
      <c r="CQ46" s="461"/>
      <c r="CR46" s="461"/>
      <c r="CS46" s="461"/>
      <c r="CT46" s="461"/>
      <c r="CU46" s="461"/>
      <c r="CV46" s="461"/>
      <c r="CW46" s="461"/>
      <c r="CX46" s="461"/>
      <c r="CY46" s="461"/>
      <c r="CZ46" s="461"/>
      <c r="DA46" s="461"/>
      <c r="DB46" s="461"/>
      <c r="DC46" s="461"/>
      <c r="DD46" s="461"/>
      <c r="DE46" s="461"/>
      <c r="DF46" s="461"/>
      <c r="DG46" s="461"/>
      <c r="DH46" s="461"/>
      <c r="DI46" s="461"/>
      <c r="DJ46" s="461"/>
      <c r="DK46" s="461"/>
      <c r="DL46" s="461"/>
      <c r="DM46" s="461"/>
      <c r="DN46" s="461">
        <v>65.946737518218256</v>
      </c>
      <c r="DO46" s="461"/>
      <c r="DP46" s="461"/>
      <c r="DQ46" s="461"/>
      <c r="DR46" s="461"/>
      <c r="DS46" s="461"/>
      <c r="DT46" s="461"/>
      <c r="DU46" s="461"/>
      <c r="DV46" s="461"/>
      <c r="DW46" s="461"/>
      <c r="DX46" s="461"/>
      <c r="DY46" s="461"/>
      <c r="DZ46" s="461"/>
      <c r="EA46" s="461"/>
      <c r="EB46" s="461"/>
      <c r="EC46" s="461"/>
      <c r="ED46" s="461"/>
      <c r="EE46" s="461"/>
      <c r="EF46" s="461"/>
      <c r="EG46" s="461"/>
      <c r="EH46" s="461"/>
      <c r="EI46" s="461"/>
      <c r="EJ46" s="461"/>
      <c r="EK46" s="461"/>
      <c r="EL46" s="461"/>
      <c r="EM46" s="461"/>
      <c r="EN46" s="461"/>
      <c r="EO46" s="461"/>
      <c r="EP46" s="461"/>
      <c r="EQ46" s="461"/>
      <c r="ER46" s="461"/>
      <c r="ES46" s="461"/>
      <c r="ET46" s="461"/>
      <c r="EU46" s="461"/>
      <c r="EV46" s="461"/>
      <c r="EW46" s="461"/>
      <c r="EX46" s="461"/>
      <c r="EY46" s="461"/>
      <c r="EZ46" s="461"/>
      <c r="FA46" s="461"/>
      <c r="FB46" s="461"/>
      <c r="FC46" s="461"/>
      <c r="FD46" s="461"/>
      <c r="FE46" s="461"/>
      <c r="FF46" s="461"/>
      <c r="FG46" s="461"/>
      <c r="FH46" s="461"/>
      <c r="FI46" s="461"/>
      <c r="FJ46" s="461"/>
      <c r="FK46" s="461"/>
      <c r="FL46" s="461"/>
      <c r="FM46" s="461"/>
      <c r="FN46" s="461"/>
      <c r="FO46" s="461"/>
      <c r="FP46" s="461"/>
      <c r="FQ46" s="461"/>
      <c r="FR46" s="461"/>
      <c r="FS46" s="461"/>
      <c r="FT46" s="461"/>
      <c r="FU46" s="461"/>
      <c r="FV46" s="461"/>
      <c r="FW46" s="461"/>
      <c r="FX46" s="461"/>
      <c r="FY46" s="461"/>
      <c r="FZ46" s="461"/>
      <c r="GA46" s="461"/>
      <c r="GB46" s="461"/>
      <c r="GC46" s="461"/>
      <c r="GD46" s="469"/>
      <c r="GE46" s="469"/>
      <c r="GF46" s="469"/>
      <c r="GG46" s="469"/>
      <c r="GH46" s="469"/>
      <c r="GI46" s="469"/>
      <c r="GJ46" s="469"/>
      <c r="GK46" s="469"/>
      <c r="GL46" s="469">
        <v>65.946737518218256</v>
      </c>
      <c r="GM46" s="458"/>
      <c r="GN46" s="469"/>
      <c r="GO46" s="469"/>
      <c r="GP46" s="468"/>
    </row>
    <row r="47" spans="1:198" x14ac:dyDescent="0.25">
      <c r="A47" s="465" t="s">
        <v>1636</v>
      </c>
      <c r="B47" s="461"/>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c r="AA47" s="461"/>
      <c r="AB47" s="461"/>
      <c r="AC47" s="461"/>
      <c r="AD47" s="461"/>
      <c r="AE47" s="461"/>
      <c r="AF47" s="461"/>
      <c r="AG47" s="461"/>
      <c r="AH47" s="461"/>
      <c r="AI47" s="461"/>
      <c r="AJ47" s="461"/>
      <c r="AK47" s="461"/>
      <c r="AL47" s="461"/>
      <c r="AM47" s="461"/>
      <c r="AN47" s="461"/>
      <c r="AO47" s="461"/>
      <c r="AP47" s="461"/>
      <c r="AQ47" s="461"/>
      <c r="AR47" s="461"/>
      <c r="AS47" s="461"/>
      <c r="AT47" s="461"/>
      <c r="AU47" s="461"/>
      <c r="AV47" s="461"/>
      <c r="AW47" s="461"/>
      <c r="AX47" s="461"/>
      <c r="AY47" s="461"/>
      <c r="AZ47" s="461"/>
      <c r="BA47" s="461"/>
      <c r="BB47" s="461"/>
      <c r="BC47" s="461"/>
      <c r="BD47" s="461"/>
      <c r="BE47" s="461"/>
      <c r="BF47" s="461"/>
      <c r="BG47" s="461"/>
      <c r="BH47" s="461"/>
      <c r="BI47" s="461"/>
      <c r="BJ47" s="461"/>
      <c r="BK47" s="461"/>
      <c r="BL47" s="461"/>
      <c r="BM47" s="461"/>
      <c r="BN47" s="461"/>
      <c r="BO47" s="461"/>
      <c r="BP47" s="461"/>
      <c r="BQ47" s="461"/>
      <c r="BR47" s="461"/>
      <c r="BS47" s="461"/>
      <c r="BT47" s="461"/>
      <c r="BU47" s="461"/>
      <c r="BV47" s="461"/>
      <c r="BW47" s="461"/>
      <c r="BX47" s="461"/>
      <c r="BY47" s="461"/>
      <c r="BZ47" s="461"/>
      <c r="CA47" s="461"/>
      <c r="CB47" s="461"/>
      <c r="CC47" s="461"/>
      <c r="CD47" s="461"/>
      <c r="CE47" s="461"/>
      <c r="CF47" s="461"/>
      <c r="CG47" s="461"/>
      <c r="CH47" s="461"/>
      <c r="CI47" s="461"/>
      <c r="CJ47" s="461"/>
      <c r="CK47" s="461"/>
      <c r="CL47" s="461"/>
      <c r="CM47" s="461"/>
      <c r="CN47" s="461"/>
      <c r="CO47" s="461"/>
      <c r="CP47" s="461"/>
      <c r="CQ47" s="461"/>
      <c r="CR47" s="461"/>
      <c r="CS47" s="461"/>
      <c r="CT47" s="461"/>
      <c r="CU47" s="461"/>
      <c r="CV47" s="461"/>
      <c r="CW47" s="461"/>
      <c r="CX47" s="461"/>
      <c r="CY47" s="461"/>
      <c r="CZ47" s="461"/>
      <c r="DA47" s="461"/>
      <c r="DB47" s="461"/>
      <c r="DC47" s="461"/>
      <c r="DD47" s="461"/>
      <c r="DE47" s="461"/>
      <c r="DF47" s="461"/>
      <c r="DG47" s="461"/>
      <c r="DH47" s="461"/>
      <c r="DI47" s="461"/>
      <c r="DJ47" s="461"/>
      <c r="DK47" s="461"/>
      <c r="DL47" s="461"/>
      <c r="DM47" s="461"/>
      <c r="DN47" s="461"/>
      <c r="DO47" s="461">
        <v>102.40238827264034</v>
      </c>
      <c r="DP47" s="461"/>
      <c r="DQ47" s="461"/>
      <c r="DR47" s="461"/>
      <c r="DS47" s="461"/>
      <c r="DT47" s="461"/>
      <c r="DU47" s="461"/>
      <c r="DV47" s="461"/>
      <c r="DW47" s="461"/>
      <c r="DX47" s="461"/>
      <c r="DY47" s="461"/>
      <c r="DZ47" s="461"/>
      <c r="EA47" s="461"/>
      <c r="EB47" s="461"/>
      <c r="EC47" s="461"/>
      <c r="ED47" s="461"/>
      <c r="EE47" s="461"/>
      <c r="EF47" s="461"/>
      <c r="EG47" s="461"/>
      <c r="EH47" s="461"/>
      <c r="EI47" s="461"/>
      <c r="EJ47" s="461"/>
      <c r="EK47" s="461"/>
      <c r="EL47" s="461"/>
      <c r="EM47" s="461"/>
      <c r="EN47" s="461"/>
      <c r="EO47" s="461"/>
      <c r="EP47" s="461"/>
      <c r="EQ47" s="461"/>
      <c r="ER47" s="461"/>
      <c r="ES47" s="461"/>
      <c r="ET47" s="461"/>
      <c r="EU47" s="461"/>
      <c r="EV47" s="461"/>
      <c r="EW47" s="461"/>
      <c r="EX47" s="461"/>
      <c r="EY47" s="461"/>
      <c r="EZ47" s="461"/>
      <c r="FA47" s="461"/>
      <c r="FB47" s="461"/>
      <c r="FC47" s="461"/>
      <c r="FD47" s="461"/>
      <c r="FE47" s="461"/>
      <c r="FF47" s="461"/>
      <c r="FG47" s="461"/>
      <c r="FH47" s="461"/>
      <c r="FI47" s="461"/>
      <c r="FJ47" s="461"/>
      <c r="FK47" s="461"/>
      <c r="FL47" s="461"/>
      <c r="FM47" s="461"/>
      <c r="FN47" s="461"/>
      <c r="FO47" s="461"/>
      <c r="FP47" s="461"/>
      <c r="FQ47" s="461"/>
      <c r="FR47" s="461"/>
      <c r="FS47" s="461"/>
      <c r="FT47" s="461"/>
      <c r="FU47" s="461"/>
      <c r="FV47" s="461"/>
      <c r="FW47" s="461"/>
      <c r="FX47" s="461"/>
      <c r="FY47" s="461"/>
      <c r="FZ47" s="461"/>
      <c r="GA47" s="461"/>
      <c r="GB47" s="461"/>
      <c r="GC47" s="461"/>
      <c r="GD47" s="469"/>
      <c r="GE47" s="469"/>
      <c r="GF47" s="469"/>
      <c r="GG47" s="469"/>
      <c r="GH47" s="469"/>
      <c r="GI47" s="469"/>
      <c r="GJ47" s="469"/>
      <c r="GK47" s="469"/>
      <c r="GL47" s="469">
        <v>102.40238827264034</v>
      </c>
      <c r="GM47" s="458"/>
      <c r="GN47" s="469"/>
      <c r="GO47" s="469"/>
      <c r="GP47" s="468"/>
    </row>
    <row r="48" spans="1:198" x14ac:dyDescent="0.25">
      <c r="A48" s="465" t="s">
        <v>1635</v>
      </c>
      <c r="B48" s="461"/>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c r="AA48" s="461"/>
      <c r="AB48" s="461"/>
      <c r="AC48" s="461"/>
      <c r="AD48" s="461"/>
      <c r="AE48" s="461"/>
      <c r="AF48" s="461"/>
      <c r="AG48" s="461"/>
      <c r="AH48" s="461"/>
      <c r="AI48" s="461"/>
      <c r="AJ48" s="461"/>
      <c r="AK48" s="461"/>
      <c r="AL48" s="461"/>
      <c r="AM48" s="461"/>
      <c r="AN48" s="461"/>
      <c r="AO48" s="461"/>
      <c r="AP48" s="461"/>
      <c r="AQ48" s="461"/>
      <c r="AR48" s="461"/>
      <c r="AS48" s="461"/>
      <c r="AT48" s="461"/>
      <c r="AU48" s="461"/>
      <c r="AV48" s="461"/>
      <c r="AW48" s="461"/>
      <c r="AX48" s="461"/>
      <c r="AY48" s="461"/>
      <c r="AZ48" s="461"/>
      <c r="BA48" s="461"/>
      <c r="BB48" s="461"/>
      <c r="BC48" s="461"/>
      <c r="BD48" s="461"/>
      <c r="BE48" s="461"/>
      <c r="BF48" s="461"/>
      <c r="BG48" s="461"/>
      <c r="BH48" s="461"/>
      <c r="BI48" s="461"/>
      <c r="BJ48" s="461"/>
      <c r="BK48" s="461"/>
      <c r="BL48" s="461"/>
      <c r="BM48" s="461"/>
      <c r="BN48" s="461"/>
      <c r="BO48" s="461"/>
      <c r="BP48" s="461"/>
      <c r="BQ48" s="461"/>
      <c r="BR48" s="461"/>
      <c r="BS48" s="461"/>
      <c r="BT48" s="461"/>
      <c r="BU48" s="461"/>
      <c r="BV48" s="461"/>
      <c r="BW48" s="461"/>
      <c r="BX48" s="461"/>
      <c r="BY48" s="461"/>
      <c r="BZ48" s="461"/>
      <c r="CA48" s="461"/>
      <c r="CB48" s="461"/>
      <c r="CC48" s="461"/>
      <c r="CD48" s="461"/>
      <c r="CE48" s="461"/>
      <c r="CF48" s="461"/>
      <c r="CG48" s="461"/>
      <c r="CH48" s="461"/>
      <c r="CI48" s="461"/>
      <c r="CJ48" s="461"/>
      <c r="CK48" s="461"/>
      <c r="CL48" s="461"/>
      <c r="CM48" s="461"/>
      <c r="CN48" s="461"/>
      <c r="CO48" s="461"/>
      <c r="CP48" s="461"/>
      <c r="CQ48" s="461"/>
      <c r="CR48" s="461"/>
      <c r="CS48" s="461"/>
      <c r="CT48" s="461"/>
      <c r="CU48" s="461"/>
      <c r="CV48" s="461"/>
      <c r="CW48" s="461"/>
      <c r="CX48" s="461"/>
      <c r="CY48" s="461"/>
      <c r="CZ48" s="461"/>
      <c r="DA48" s="461"/>
      <c r="DB48" s="461"/>
      <c r="DC48" s="461"/>
      <c r="DD48" s="461"/>
      <c r="DE48" s="461"/>
      <c r="DF48" s="461"/>
      <c r="DG48" s="461"/>
      <c r="DH48" s="461"/>
      <c r="DI48" s="461"/>
      <c r="DJ48" s="461"/>
      <c r="DK48" s="461"/>
      <c r="DL48" s="461"/>
      <c r="DM48" s="461"/>
      <c r="DN48" s="461"/>
      <c r="DO48" s="461"/>
      <c r="DP48" s="461">
        <v>64.7646449533474</v>
      </c>
      <c r="DQ48" s="461"/>
      <c r="DR48" s="461"/>
      <c r="DS48" s="461"/>
      <c r="DT48" s="461"/>
      <c r="DU48" s="461"/>
      <c r="DV48" s="461"/>
      <c r="DW48" s="461"/>
      <c r="DX48" s="461"/>
      <c r="DY48" s="461"/>
      <c r="DZ48" s="461"/>
      <c r="EA48" s="461"/>
      <c r="EB48" s="461"/>
      <c r="EC48" s="461"/>
      <c r="ED48" s="461"/>
      <c r="EE48" s="461"/>
      <c r="EF48" s="461"/>
      <c r="EG48" s="461"/>
      <c r="EH48" s="461"/>
      <c r="EI48" s="461"/>
      <c r="EJ48" s="461"/>
      <c r="EK48" s="461"/>
      <c r="EL48" s="461"/>
      <c r="EM48" s="461"/>
      <c r="EN48" s="461"/>
      <c r="EO48" s="461"/>
      <c r="EP48" s="461"/>
      <c r="EQ48" s="461"/>
      <c r="ER48" s="461"/>
      <c r="ES48" s="461"/>
      <c r="ET48" s="461"/>
      <c r="EU48" s="461"/>
      <c r="EV48" s="461"/>
      <c r="EW48" s="461"/>
      <c r="EX48" s="461"/>
      <c r="EY48" s="461"/>
      <c r="EZ48" s="461"/>
      <c r="FA48" s="461"/>
      <c r="FB48" s="461"/>
      <c r="FC48" s="461"/>
      <c r="FD48" s="461"/>
      <c r="FE48" s="461"/>
      <c r="FF48" s="461"/>
      <c r="FG48" s="461"/>
      <c r="FH48" s="461"/>
      <c r="FI48" s="461"/>
      <c r="FJ48" s="461"/>
      <c r="FK48" s="461"/>
      <c r="FL48" s="461"/>
      <c r="FM48" s="461"/>
      <c r="FN48" s="461"/>
      <c r="FO48" s="461"/>
      <c r="FP48" s="461"/>
      <c r="FQ48" s="461"/>
      <c r="FR48" s="461"/>
      <c r="FS48" s="461"/>
      <c r="FT48" s="461"/>
      <c r="FU48" s="461"/>
      <c r="FV48" s="461"/>
      <c r="FW48" s="461"/>
      <c r="FX48" s="461"/>
      <c r="FY48" s="461"/>
      <c r="FZ48" s="461"/>
      <c r="GA48" s="461"/>
      <c r="GB48" s="461"/>
      <c r="GC48" s="461"/>
      <c r="GD48" s="469"/>
      <c r="GE48" s="469"/>
      <c r="GF48" s="469"/>
      <c r="GG48" s="469"/>
      <c r="GH48" s="469"/>
      <c r="GI48" s="469"/>
      <c r="GJ48" s="469"/>
      <c r="GK48" s="469"/>
      <c r="GL48" s="469">
        <v>64.7646449533474</v>
      </c>
      <c r="GM48" s="458"/>
      <c r="GN48" s="469"/>
      <c r="GO48" s="469"/>
      <c r="GP48" s="468"/>
    </row>
    <row r="49" spans="1:198" x14ac:dyDescent="0.25">
      <c r="A49" s="465" t="s">
        <v>1634</v>
      </c>
      <c r="B49" s="461"/>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c r="AA49" s="461"/>
      <c r="AB49" s="461"/>
      <c r="AC49" s="461"/>
      <c r="AD49" s="461"/>
      <c r="AE49" s="461"/>
      <c r="AF49" s="461"/>
      <c r="AG49" s="461"/>
      <c r="AH49" s="461"/>
      <c r="AI49" s="461"/>
      <c r="AJ49" s="461"/>
      <c r="AK49" s="461"/>
      <c r="AL49" s="461"/>
      <c r="AM49" s="461"/>
      <c r="AN49" s="461"/>
      <c r="AO49" s="461"/>
      <c r="AP49" s="461"/>
      <c r="AQ49" s="461"/>
      <c r="AR49" s="461"/>
      <c r="AS49" s="461"/>
      <c r="AT49" s="461"/>
      <c r="AU49" s="461"/>
      <c r="AV49" s="461"/>
      <c r="AW49" s="461"/>
      <c r="AX49" s="461"/>
      <c r="AY49" s="461"/>
      <c r="AZ49" s="461"/>
      <c r="BA49" s="461"/>
      <c r="BB49" s="461"/>
      <c r="BC49" s="461"/>
      <c r="BD49" s="461"/>
      <c r="BE49" s="461"/>
      <c r="BF49" s="461"/>
      <c r="BG49" s="461"/>
      <c r="BH49" s="461"/>
      <c r="BI49" s="461"/>
      <c r="BJ49" s="461"/>
      <c r="BK49" s="461"/>
      <c r="BL49" s="461"/>
      <c r="BM49" s="461"/>
      <c r="BN49" s="461"/>
      <c r="BO49" s="461"/>
      <c r="BP49" s="461"/>
      <c r="BQ49" s="461"/>
      <c r="BR49" s="461"/>
      <c r="BS49" s="461"/>
      <c r="BT49" s="461"/>
      <c r="BU49" s="461"/>
      <c r="BV49" s="461"/>
      <c r="BW49" s="461"/>
      <c r="BX49" s="461"/>
      <c r="BY49" s="461"/>
      <c r="BZ49" s="461"/>
      <c r="CA49" s="461"/>
      <c r="CB49" s="461"/>
      <c r="CC49" s="461"/>
      <c r="CD49" s="461"/>
      <c r="CE49" s="461"/>
      <c r="CF49" s="461"/>
      <c r="CG49" s="461"/>
      <c r="CH49" s="461"/>
      <c r="CI49" s="461"/>
      <c r="CJ49" s="461"/>
      <c r="CK49" s="461"/>
      <c r="CL49" s="461"/>
      <c r="CM49" s="461"/>
      <c r="CN49" s="461"/>
      <c r="CO49" s="461"/>
      <c r="CP49" s="461"/>
      <c r="CQ49" s="461"/>
      <c r="CR49" s="461"/>
      <c r="CS49" s="461"/>
      <c r="CT49" s="461"/>
      <c r="CU49" s="461"/>
      <c r="CV49" s="461"/>
      <c r="CW49" s="461"/>
      <c r="CX49" s="461"/>
      <c r="CY49" s="461"/>
      <c r="CZ49" s="461"/>
      <c r="DA49" s="461"/>
      <c r="DB49" s="461"/>
      <c r="DC49" s="461"/>
      <c r="DD49" s="461"/>
      <c r="DE49" s="461"/>
      <c r="DF49" s="461"/>
      <c r="DG49" s="461"/>
      <c r="DH49" s="461"/>
      <c r="DI49" s="461"/>
      <c r="DJ49" s="461"/>
      <c r="DK49" s="461"/>
      <c r="DL49" s="461"/>
      <c r="DM49" s="461"/>
      <c r="DN49" s="461"/>
      <c r="DO49" s="461"/>
      <c r="DP49" s="461"/>
      <c r="DQ49" s="461">
        <v>110.19410621875571</v>
      </c>
      <c r="DR49" s="461">
        <v>53.692712441952423</v>
      </c>
      <c r="DS49" s="461">
        <v>10.1748980195811</v>
      </c>
      <c r="DT49" s="461">
        <v>13.207792772794921</v>
      </c>
      <c r="DU49" s="461">
        <v>12.099469547861533</v>
      </c>
      <c r="DV49" s="461"/>
      <c r="DW49" s="461"/>
      <c r="DX49" s="461"/>
      <c r="DY49" s="461"/>
      <c r="DZ49" s="461"/>
      <c r="EA49" s="461"/>
      <c r="EB49" s="461"/>
      <c r="EC49" s="461"/>
      <c r="ED49" s="461"/>
      <c r="EE49" s="461"/>
      <c r="EF49" s="461"/>
      <c r="EG49" s="461"/>
      <c r="EH49" s="461"/>
      <c r="EI49" s="461"/>
      <c r="EJ49" s="461"/>
      <c r="EK49" s="461"/>
      <c r="EL49" s="461"/>
      <c r="EM49" s="461"/>
      <c r="EN49" s="461"/>
      <c r="EO49" s="461"/>
      <c r="EP49" s="461"/>
      <c r="EQ49" s="461"/>
      <c r="ER49" s="461"/>
      <c r="ES49" s="461"/>
      <c r="ET49" s="461"/>
      <c r="EU49" s="461"/>
      <c r="EV49" s="461"/>
      <c r="EW49" s="461"/>
      <c r="EX49" s="461"/>
      <c r="EY49" s="461"/>
      <c r="EZ49" s="461"/>
      <c r="FA49" s="461"/>
      <c r="FB49" s="461"/>
      <c r="FC49" s="461"/>
      <c r="FD49" s="461"/>
      <c r="FE49" s="461"/>
      <c r="FF49" s="461"/>
      <c r="FG49" s="461"/>
      <c r="FH49" s="461"/>
      <c r="FI49" s="461"/>
      <c r="FJ49" s="461"/>
      <c r="FK49" s="461"/>
      <c r="FL49" s="461"/>
      <c r="FM49" s="461"/>
      <c r="FN49" s="461"/>
      <c r="FO49" s="461"/>
      <c r="FP49" s="461"/>
      <c r="FQ49" s="461"/>
      <c r="FR49" s="461"/>
      <c r="FS49" s="461"/>
      <c r="FT49" s="461"/>
      <c r="FU49" s="461"/>
      <c r="FV49" s="461"/>
      <c r="FW49" s="461"/>
      <c r="FX49" s="461"/>
      <c r="FY49" s="461"/>
      <c r="FZ49" s="461"/>
      <c r="GA49" s="461"/>
      <c r="GB49" s="461"/>
      <c r="GC49" s="461"/>
      <c r="GD49" s="469"/>
      <c r="GE49" s="469"/>
      <c r="GF49" s="469"/>
      <c r="GG49" s="469"/>
      <c r="GH49" s="469"/>
      <c r="GI49" s="469"/>
      <c r="GJ49" s="469"/>
      <c r="GK49" s="469"/>
      <c r="GL49" s="469">
        <v>199.36897900094567</v>
      </c>
      <c r="GM49" s="458"/>
      <c r="GN49" s="469"/>
      <c r="GO49" s="469"/>
      <c r="GP49" s="468"/>
    </row>
    <row r="50" spans="1:198" x14ac:dyDescent="0.25">
      <c r="A50" s="465" t="s">
        <v>1644</v>
      </c>
      <c r="B50" s="461"/>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c r="AA50" s="461"/>
      <c r="AB50" s="461"/>
      <c r="AC50" s="461"/>
      <c r="AD50" s="461"/>
      <c r="AE50" s="461"/>
      <c r="AF50" s="461"/>
      <c r="AG50" s="461"/>
      <c r="AH50" s="461"/>
      <c r="AI50" s="461"/>
      <c r="AJ50" s="461"/>
      <c r="AK50" s="461"/>
      <c r="AL50" s="461"/>
      <c r="AM50" s="461"/>
      <c r="AN50" s="461"/>
      <c r="AO50" s="461"/>
      <c r="AP50" s="461"/>
      <c r="AQ50" s="461"/>
      <c r="AR50" s="461"/>
      <c r="AS50" s="461"/>
      <c r="AT50" s="461"/>
      <c r="AU50" s="461"/>
      <c r="AV50" s="461"/>
      <c r="AW50" s="461"/>
      <c r="AX50" s="461"/>
      <c r="AY50" s="461"/>
      <c r="AZ50" s="461"/>
      <c r="BA50" s="461"/>
      <c r="BB50" s="461"/>
      <c r="BC50" s="461"/>
      <c r="BD50" s="461"/>
      <c r="BE50" s="461"/>
      <c r="BF50" s="461"/>
      <c r="BG50" s="461"/>
      <c r="BH50" s="461"/>
      <c r="BI50" s="461"/>
      <c r="BJ50" s="461"/>
      <c r="BK50" s="461"/>
      <c r="BL50" s="461"/>
      <c r="BM50" s="461"/>
      <c r="BN50" s="461"/>
      <c r="BO50" s="461"/>
      <c r="BP50" s="461"/>
      <c r="BQ50" s="461"/>
      <c r="BR50" s="461"/>
      <c r="BS50" s="461"/>
      <c r="BT50" s="461"/>
      <c r="BU50" s="461"/>
      <c r="BV50" s="461"/>
      <c r="BW50" s="461"/>
      <c r="BX50" s="461"/>
      <c r="BY50" s="461"/>
      <c r="BZ50" s="461"/>
      <c r="CA50" s="461"/>
      <c r="CB50" s="461"/>
      <c r="CC50" s="461"/>
      <c r="CD50" s="461"/>
      <c r="CE50" s="461"/>
      <c r="CF50" s="461"/>
      <c r="CG50" s="461"/>
      <c r="CH50" s="461"/>
      <c r="CI50" s="461"/>
      <c r="CJ50" s="461"/>
      <c r="CK50" s="461"/>
      <c r="CL50" s="461"/>
      <c r="CM50" s="461"/>
      <c r="CN50" s="461"/>
      <c r="CO50" s="461"/>
      <c r="CP50" s="461"/>
      <c r="CQ50" s="461"/>
      <c r="CR50" s="461"/>
      <c r="CS50" s="461"/>
      <c r="CT50" s="461"/>
      <c r="CU50" s="461"/>
      <c r="CV50" s="461"/>
      <c r="CW50" s="461"/>
      <c r="CX50" s="461"/>
      <c r="CY50" s="461"/>
      <c r="CZ50" s="461"/>
      <c r="DA50" s="461"/>
      <c r="DB50" s="461"/>
      <c r="DC50" s="461"/>
      <c r="DD50" s="461"/>
      <c r="DE50" s="461"/>
      <c r="DF50" s="461"/>
      <c r="DG50" s="461"/>
      <c r="DH50" s="461"/>
      <c r="DI50" s="461"/>
      <c r="DJ50" s="461"/>
      <c r="DK50" s="461"/>
      <c r="DL50" s="461"/>
      <c r="DM50" s="461"/>
      <c r="DN50" s="461"/>
      <c r="DO50" s="461"/>
      <c r="DP50" s="461"/>
      <c r="DQ50" s="461"/>
      <c r="DR50" s="461"/>
      <c r="DS50" s="461"/>
      <c r="DT50" s="461"/>
      <c r="DU50" s="461"/>
      <c r="DV50" s="461">
        <v>1.0000009999999999</v>
      </c>
      <c r="DW50" s="461"/>
      <c r="DX50" s="461"/>
      <c r="DY50" s="461"/>
      <c r="DZ50" s="461"/>
      <c r="EA50" s="461"/>
      <c r="EB50" s="461"/>
      <c r="EC50" s="461"/>
      <c r="ED50" s="461"/>
      <c r="EE50" s="461"/>
      <c r="EF50" s="461"/>
      <c r="EG50" s="461"/>
      <c r="EH50" s="461"/>
      <c r="EI50" s="461"/>
      <c r="EJ50" s="461"/>
      <c r="EK50" s="461"/>
      <c r="EL50" s="461"/>
      <c r="EM50" s="461"/>
      <c r="EN50" s="461"/>
      <c r="EO50" s="461"/>
      <c r="EP50" s="461"/>
      <c r="EQ50" s="461"/>
      <c r="ER50" s="461"/>
      <c r="ES50" s="461"/>
      <c r="ET50" s="461"/>
      <c r="EU50" s="461"/>
      <c r="EV50" s="461"/>
      <c r="EW50" s="461"/>
      <c r="EX50" s="461"/>
      <c r="EY50" s="461"/>
      <c r="EZ50" s="461"/>
      <c r="FA50" s="461"/>
      <c r="FB50" s="461"/>
      <c r="FC50" s="461"/>
      <c r="FD50" s="461"/>
      <c r="FE50" s="461"/>
      <c r="FF50" s="461"/>
      <c r="FG50" s="461"/>
      <c r="FH50" s="461"/>
      <c r="FI50" s="461"/>
      <c r="FJ50" s="461"/>
      <c r="FK50" s="461"/>
      <c r="FL50" s="461"/>
      <c r="FM50" s="461"/>
      <c r="FN50" s="461"/>
      <c r="FO50" s="461"/>
      <c r="FP50" s="461"/>
      <c r="FQ50" s="461"/>
      <c r="FR50" s="461"/>
      <c r="FS50" s="461"/>
      <c r="FT50" s="461"/>
      <c r="FU50" s="461"/>
      <c r="FV50" s="461"/>
      <c r="FW50" s="461"/>
      <c r="FX50" s="461"/>
      <c r="FY50" s="461"/>
      <c r="FZ50" s="461"/>
      <c r="GA50" s="461"/>
      <c r="GB50" s="461"/>
      <c r="GC50" s="461"/>
      <c r="GD50" s="469"/>
      <c r="GE50" s="469"/>
      <c r="GF50" s="469"/>
      <c r="GG50" s="469"/>
      <c r="GH50" s="469"/>
      <c r="GI50" s="469"/>
      <c r="GJ50" s="469"/>
      <c r="GK50" s="469"/>
      <c r="GL50" s="469">
        <v>1.0000009999999999</v>
      </c>
      <c r="GM50" s="458"/>
      <c r="GN50" s="469"/>
      <c r="GO50" s="469"/>
      <c r="GP50" s="468"/>
    </row>
    <row r="51" spans="1:198" x14ac:dyDescent="0.25">
      <c r="A51" s="465" t="s">
        <v>2285</v>
      </c>
      <c r="B51" s="461"/>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c r="AA51" s="461"/>
      <c r="AB51" s="461"/>
      <c r="AC51" s="461"/>
      <c r="AD51" s="461"/>
      <c r="AE51" s="461"/>
      <c r="AF51" s="461"/>
      <c r="AG51" s="461"/>
      <c r="AH51" s="461"/>
      <c r="AI51" s="461"/>
      <c r="AJ51" s="461"/>
      <c r="AK51" s="461"/>
      <c r="AL51" s="461"/>
      <c r="AM51" s="461"/>
      <c r="AN51" s="461"/>
      <c r="AO51" s="461"/>
      <c r="AP51" s="461"/>
      <c r="AQ51" s="461"/>
      <c r="AR51" s="461"/>
      <c r="AS51" s="461"/>
      <c r="AT51" s="461"/>
      <c r="AU51" s="461"/>
      <c r="AV51" s="461"/>
      <c r="AW51" s="461"/>
      <c r="AX51" s="461"/>
      <c r="AY51" s="461"/>
      <c r="AZ51" s="461"/>
      <c r="BA51" s="461"/>
      <c r="BB51" s="461"/>
      <c r="BC51" s="461"/>
      <c r="BD51" s="461"/>
      <c r="BE51" s="461"/>
      <c r="BF51" s="461"/>
      <c r="BG51" s="461"/>
      <c r="BH51" s="461"/>
      <c r="BI51" s="461"/>
      <c r="BJ51" s="461"/>
      <c r="BK51" s="461"/>
      <c r="BL51" s="461"/>
      <c r="BM51" s="461"/>
      <c r="BN51" s="461"/>
      <c r="BO51" s="461"/>
      <c r="BP51" s="461"/>
      <c r="BQ51" s="461"/>
      <c r="BR51" s="461"/>
      <c r="BS51" s="461"/>
      <c r="BT51" s="461"/>
      <c r="BU51" s="461"/>
      <c r="BV51" s="461"/>
      <c r="BW51" s="461"/>
      <c r="BX51" s="461"/>
      <c r="BY51" s="461"/>
      <c r="BZ51" s="461"/>
      <c r="CA51" s="461"/>
      <c r="CB51" s="461"/>
      <c r="CC51" s="461"/>
      <c r="CD51" s="461"/>
      <c r="CE51" s="461"/>
      <c r="CF51" s="461"/>
      <c r="CG51" s="461"/>
      <c r="CH51" s="461"/>
      <c r="CI51" s="461"/>
      <c r="CJ51" s="461"/>
      <c r="CK51" s="461"/>
      <c r="CL51" s="461"/>
      <c r="CM51" s="461"/>
      <c r="CN51" s="461"/>
      <c r="CO51" s="461"/>
      <c r="CP51" s="461"/>
      <c r="CQ51" s="461"/>
      <c r="CR51" s="461"/>
      <c r="CS51" s="461"/>
      <c r="CT51" s="461"/>
      <c r="CU51" s="461"/>
      <c r="CV51" s="461"/>
      <c r="CW51" s="461"/>
      <c r="CX51" s="461"/>
      <c r="CY51" s="461"/>
      <c r="CZ51" s="461"/>
      <c r="DA51" s="461"/>
      <c r="DB51" s="461"/>
      <c r="DC51" s="461"/>
      <c r="DD51" s="461"/>
      <c r="DE51" s="461"/>
      <c r="DF51" s="461"/>
      <c r="DG51" s="461"/>
      <c r="DH51" s="461"/>
      <c r="DI51" s="461"/>
      <c r="DJ51" s="461"/>
      <c r="DK51" s="461"/>
      <c r="DL51" s="461"/>
      <c r="DM51" s="461"/>
      <c r="DN51" s="461"/>
      <c r="DO51" s="461"/>
      <c r="DP51" s="461"/>
      <c r="DQ51" s="461"/>
      <c r="DR51" s="461"/>
      <c r="DS51" s="461"/>
      <c r="DT51" s="461"/>
      <c r="DU51" s="461"/>
      <c r="DV51" s="461"/>
      <c r="DW51" s="461">
        <v>15.400867670589438</v>
      </c>
      <c r="DX51" s="461"/>
      <c r="DY51" s="461"/>
      <c r="DZ51" s="461"/>
      <c r="EA51" s="461"/>
      <c r="EB51" s="461"/>
      <c r="EC51" s="461"/>
      <c r="ED51" s="461"/>
      <c r="EE51" s="461"/>
      <c r="EF51" s="461"/>
      <c r="EG51" s="461"/>
      <c r="EH51" s="461"/>
      <c r="EI51" s="461"/>
      <c r="EJ51" s="461"/>
      <c r="EK51" s="461"/>
      <c r="EL51" s="461"/>
      <c r="EM51" s="461"/>
      <c r="EN51" s="461"/>
      <c r="EO51" s="461"/>
      <c r="EP51" s="461"/>
      <c r="EQ51" s="461"/>
      <c r="ER51" s="461"/>
      <c r="ES51" s="461"/>
      <c r="ET51" s="461"/>
      <c r="EU51" s="461"/>
      <c r="EV51" s="461"/>
      <c r="EW51" s="461"/>
      <c r="EX51" s="461"/>
      <c r="EY51" s="461"/>
      <c r="EZ51" s="461"/>
      <c r="FA51" s="461"/>
      <c r="FB51" s="461"/>
      <c r="FC51" s="461"/>
      <c r="FD51" s="461"/>
      <c r="FE51" s="461"/>
      <c r="FF51" s="461"/>
      <c r="FG51" s="461"/>
      <c r="FH51" s="461"/>
      <c r="FI51" s="461"/>
      <c r="FJ51" s="461"/>
      <c r="FK51" s="461"/>
      <c r="FL51" s="461"/>
      <c r="FM51" s="461"/>
      <c r="FN51" s="461"/>
      <c r="FO51" s="461"/>
      <c r="FP51" s="461"/>
      <c r="FQ51" s="461"/>
      <c r="FR51" s="461"/>
      <c r="FS51" s="461"/>
      <c r="FT51" s="461"/>
      <c r="FU51" s="461"/>
      <c r="FV51" s="461"/>
      <c r="FW51" s="461"/>
      <c r="FX51" s="461"/>
      <c r="FY51" s="461"/>
      <c r="FZ51" s="461"/>
      <c r="GA51" s="461"/>
      <c r="GB51" s="461"/>
      <c r="GC51" s="461"/>
      <c r="GD51" s="469"/>
      <c r="GE51" s="469"/>
      <c r="GF51" s="469"/>
      <c r="GG51" s="469"/>
      <c r="GH51" s="469"/>
      <c r="GI51" s="469"/>
      <c r="GJ51" s="469"/>
      <c r="GK51" s="469"/>
      <c r="GL51" s="469">
        <v>15.400867670589438</v>
      </c>
      <c r="GM51" s="458"/>
      <c r="GN51" s="469"/>
      <c r="GO51" s="469"/>
      <c r="GP51" s="468"/>
    </row>
    <row r="52" spans="1:198" x14ac:dyDescent="0.25">
      <c r="A52" s="465" t="s">
        <v>1633</v>
      </c>
      <c r="B52" s="461"/>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c r="AA52" s="461"/>
      <c r="AB52" s="461"/>
      <c r="AC52" s="461"/>
      <c r="AD52" s="461"/>
      <c r="AE52" s="461"/>
      <c r="AF52" s="461"/>
      <c r="AG52" s="461"/>
      <c r="AH52" s="461"/>
      <c r="AI52" s="461"/>
      <c r="AJ52" s="461"/>
      <c r="AK52" s="461"/>
      <c r="AL52" s="461"/>
      <c r="AM52" s="461"/>
      <c r="AN52" s="461"/>
      <c r="AO52" s="461"/>
      <c r="AP52" s="461"/>
      <c r="AQ52" s="461"/>
      <c r="AR52" s="461"/>
      <c r="AS52" s="461"/>
      <c r="AT52" s="461"/>
      <c r="AU52" s="461"/>
      <c r="AV52" s="461"/>
      <c r="AW52" s="461"/>
      <c r="AX52" s="461"/>
      <c r="AY52" s="461"/>
      <c r="AZ52" s="461"/>
      <c r="BA52" s="461"/>
      <c r="BB52" s="461"/>
      <c r="BC52" s="461"/>
      <c r="BD52" s="461"/>
      <c r="BE52" s="461"/>
      <c r="BF52" s="461"/>
      <c r="BG52" s="461"/>
      <c r="BH52" s="461"/>
      <c r="BI52" s="461"/>
      <c r="BJ52" s="461"/>
      <c r="BK52" s="461"/>
      <c r="BL52" s="461"/>
      <c r="BM52" s="461"/>
      <c r="BN52" s="461"/>
      <c r="BO52" s="461"/>
      <c r="BP52" s="461"/>
      <c r="BQ52" s="461"/>
      <c r="BR52" s="461"/>
      <c r="BS52" s="461"/>
      <c r="BT52" s="461"/>
      <c r="BU52" s="461"/>
      <c r="BV52" s="461"/>
      <c r="BW52" s="461"/>
      <c r="BX52" s="461"/>
      <c r="BY52" s="461"/>
      <c r="BZ52" s="461"/>
      <c r="CA52" s="461"/>
      <c r="CB52" s="461"/>
      <c r="CC52" s="461"/>
      <c r="CD52" s="461"/>
      <c r="CE52" s="461"/>
      <c r="CF52" s="461"/>
      <c r="CG52" s="461"/>
      <c r="CH52" s="461"/>
      <c r="CI52" s="461"/>
      <c r="CJ52" s="461"/>
      <c r="CK52" s="461"/>
      <c r="CL52" s="461"/>
      <c r="CM52" s="461"/>
      <c r="CN52" s="461"/>
      <c r="CO52" s="461"/>
      <c r="CP52" s="461"/>
      <c r="CQ52" s="461"/>
      <c r="CR52" s="461"/>
      <c r="CS52" s="461"/>
      <c r="CT52" s="461"/>
      <c r="CU52" s="461"/>
      <c r="CV52" s="461"/>
      <c r="CW52" s="461"/>
      <c r="CX52" s="461"/>
      <c r="CY52" s="461"/>
      <c r="CZ52" s="461"/>
      <c r="DA52" s="461"/>
      <c r="DB52" s="461"/>
      <c r="DC52" s="461"/>
      <c r="DD52" s="461"/>
      <c r="DE52" s="461"/>
      <c r="DF52" s="461"/>
      <c r="DG52" s="461"/>
      <c r="DH52" s="461"/>
      <c r="DI52" s="461"/>
      <c r="DJ52" s="461"/>
      <c r="DK52" s="461"/>
      <c r="DL52" s="461"/>
      <c r="DM52" s="461"/>
      <c r="DN52" s="461"/>
      <c r="DO52" s="461"/>
      <c r="DP52" s="461"/>
      <c r="DQ52" s="461"/>
      <c r="DR52" s="461"/>
      <c r="DS52" s="461"/>
      <c r="DT52" s="461"/>
      <c r="DU52" s="461"/>
      <c r="DV52" s="461"/>
      <c r="DW52" s="461"/>
      <c r="DX52" s="461">
        <v>138.60780903530494</v>
      </c>
      <c r="DY52" s="461"/>
      <c r="DZ52" s="461"/>
      <c r="EA52" s="461"/>
      <c r="EB52" s="461"/>
      <c r="EC52" s="461"/>
      <c r="ED52" s="461"/>
      <c r="EE52" s="461"/>
      <c r="EF52" s="461"/>
      <c r="EG52" s="461"/>
      <c r="EH52" s="461"/>
      <c r="EI52" s="461"/>
      <c r="EJ52" s="461"/>
      <c r="EK52" s="461"/>
      <c r="EL52" s="461"/>
      <c r="EM52" s="461"/>
      <c r="EN52" s="461"/>
      <c r="EO52" s="461"/>
      <c r="EP52" s="461"/>
      <c r="EQ52" s="461"/>
      <c r="ER52" s="461"/>
      <c r="ES52" s="461"/>
      <c r="ET52" s="461"/>
      <c r="EU52" s="461"/>
      <c r="EV52" s="461"/>
      <c r="EW52" s="461"/>
      <c r="EX52" s="461"/>
      <c r="EY52" s="461"/>
      <c r="EZ52" s="461"/>
      <c r="FA52" s="461"/>
      <c r="FB52" s="461"/>
      <c r="FC52" s="461"/>
      <c r="FD52" s="461"/>
      <c r="FE52" s="461"/>
      <c r="FF52" s="461"/>
      <c r="FG52" s="461"/>
      <c r="FH52" s="461"/>
      <c r="FI52" s="461"/>
      <c r="FJ52" s="461"/>
      <c r="FK52" s="461"/>
      <c r="FL52" s="461"/>
      <c r="FM52" s="461"/>
      <c r="FN52" s="461"/>
      <c r="FO52" s="461"/>
      <c r="FP52" s="461"/>
      <c r="FQ52" s="461"/>
      <c r="FR52" s="461"/>
      <c r="FS52" s="461"/>
      <c r="FT52" s="461"/>
      <c r="FU52" s="461"/>
      <c r="FV52" s="461"/>
      <c r="FW52" s="461"/>
      <c r="FX52" s="461"/>
      <c r="FY52" s="461"/>
      <c r="FZ52" s="461"/>
      <c r="GA52" s="461"/>
      <c r="GB52" s="461"/>
      <c r="GC52" s="461"/>
      <c r="GD52" s="469"/>
      <c r="GE52" s="469"/>
      <c r="GF52" s="469"/>
      <c r="GG52" s="469"/>
      <c r="GH52" s="469"/>
      <c r="GI52" s="469"/>
      <c r="GJ52" s="469"/>
      <c r="GK52" s="469"/>
      <c r="GL52" s="469">
        <v>138.60780903530494</v>
      </c>
      <c r="GM52" s="458"/>
      <c r="GN52" s="469"/>
      <c r="GO52" s="469"/>
      <c r="GP52" s="468"/>
    </row>
    <row r="53" spans="1:198" x14ac:dyDescent="0.25">
      <c r="A53" s="465" t="s">
        <v>1632</v>
      </c>
      <c r="B53" s="461"/>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c r="AB53" s="461"/>
      <c r="AC53" s="461"/>
      <c r="AD53" s="461"/>
      <c r="AE53" s="461"/>
      <c r="AF53" s="461"/>
      <c r="AG53" s="461"/>
      <c r="AH53" s="461"/>
      <c r="AI53" s="461"/>
      <c r="AJ53" s="461"/>
      <c r="AK53" s="461"/>
      <c r="AL53" s="461"/>
      <c r="AM53" s="461"/>
      <c r="AN53" s="461"/>
      <c r="AO53" s="461"/>
      <c r="AP53" s="461"/>
      <c r="AQ53" s="461"/>
      <c r="AR53" s="461"/>
      <c r="AS53" s="461"/>
      <c r="AT53" s="461"/>
      <c r="AU53" s="461"/>
      <c r="AV53" s="461"/>
      <c r="AW53" s="461"/>
      <c r="AX53" s="461"/>
      <c r="AY53" s="461"/>
      <c r="AZ53" s="461"/>
      <c r="BA53" s="461"/>
      <c r="BB53" s="461"/>
      <c r="BC53" s="461"/>
      <c r="BD53" s="461"/>
      <c r="BE53" s="461"/>
      <c r="BF53" s="461"/>
      <c r="BG53" s="461"/>
      <c r="BH53" s="461"/>
      <c r="BI53" s="461"/>
      <c r="BJ53" s="461"/>
      <c r="BK53" s="461"/>
      <c r="BL53" s="461"/>
      <c r="BM53" s="461"/>
      <c r="BN53" s="461"/>
      <c r="BO53" s="461"/>
      <c r="BP53" s="461"/>
      <c r="BQ53" s="461"/>
      <c r="BR53" s="461"/>
      <c r="BS53" s="461"/>
      <c r="BT53" s="461"/>
      <c r="BU53" s="461"/>
      <c r="BV53" s="461"/>
      <c r="BW53" s="461"/>
      <c r="BX53" s="461"/>
      <c r="BY53" s="461"/>
      <c r="BZ53" s="461"/>
      <c r="CA53" s="461"/>
      <c r="CB53" s="461"/>
      <c r="CC53" s="461"/>
      <c r="CD53" s="461"/>
      <c r="CE53" s="461"/>
      <c r="CF53" s="461"/>
      <c r="CG53" s="461"/>
      <c r="CH53" s="461"/>
      <c r="CI53" s="461"/>
      <c r="CJ53" s="461"/>
      <c r="CK53" s="461"/>
      <c r="CL53" s="461"/>
      <c r="CM53" s="461"/>
      <c r="CN53" s="461"/>
      <c r="CO53" s="461"/>
      <c r="CP53" s="461"/>
      <c r="CQ53" s="461"/>
      <c r="CR53" s="461"/>
      <c r="CS53" s="461"/>
      <c r="CT53" s="461"/>
      <c r="CU53" s="461"/>
      <c r="CV53" s="461"/>
      <c r="CW53" s="461"/>
      <c r="CX53" s="461"/>
      <c r="CY53" s="461"/>
      <c r="CZ53" s="461"/>
      <c r="DA53" s="461"/>
      <c r="DB53" s="461"/>
      <c r="DC53" s="461"/>
      <c r="DD53" s="461"/>
      <c r="DE53" s="461"/>
      <c r="DF53" s="461"/>
      <c r="DG53" s="461"/>
      <c r="DH53" s="461"/>
      <c r="DI53" s="461"/>
      <c r="DJ53" s="461"/>
      <c r="DK53" s="461"/>
      <c r="DL53" s="461"/>
      <c r="DM53" s="461"/>
      <c r="DN53" s="461"/>
      <c r="DO53" s="461"/>
      <c r="DP53" s="461"/>
      <c r="DQ53" s="461"/>
      <c r="DR53" s="461"/>
      <c r="DS53" s="461"/>
      <c r="DT53" s="461"/>
      <c r="DU53" s="461"/>
      <c r="DV53" s="461"/>
      <c r="DW53" s="461"/>
      <c r="DX53" s="461"/>
      <c r="DY53" s="461">
        <v>184.2819852500194</v>
      </c>
      <c r="DZ53" s="461"/>
      <c r="EA53" s="461"/>
      <c r="EB53" s="461"/>
      <c r="EC53" s="461"/>
      <c r="ED53" s="461"/>
      <c r="EE53" s="461"/>
      <c r="EF53" s="461"/>
      <c r="EG53" s="461"/>
      <c r="EH53" s="461"/>
      <c r="EI53" s="461"/>
      <c r="EJ53" s="461"/>
      <c r="EK53" s="461"/>
      <c r="EL53" s="461"/>
      <c r="EM53" s="461"/>
      <c r="EN53" s="461"/>
      <c r="EO53" s="461"/>
      <c r="EP53" s="461"/>
      <c r="EQ53" s="461"/>
      <c r="ER53" s="461"/>
      <c r="ES53" s="461"/>
      <c r="ET53" s="461"/>
      <c r="EU53" s="461"/>
      <c r="EV53" s="461"/>
      <c r="EW53" s="461"/>
      <c r="EX53" s="461"/>
      <c r="EY53" s="461"/>
      <c r="EZ53" s="461"/>
      <c r="FA53" s="461"/>
      <c r="FB53" s="461"/>
      <c r="FC53" s="461"/>
      <c r="FD53" s="461"/>
      <c r="FE53" s="461"/>
      <c r="FF53" s="461"/>
      <c r="FG53" s="461"/>
      <c r="FH53" s="461"/>
      <c r="FI53" s="461"/>
      <c r="FJ53" s="461"/>
      <c r="FK53" s="461"/>
      <c r="FL53" s="461"/>
      <c r="FM53" s="461"/>
      <c r="FN53" s="461"/>
      <c r="FO53" s="461"/>
      <c r="FP53" s="461"/>
      <c r="FQ53" s="461"/>
      <c r="FR53" s="461"/>
      <c r="FS53" s="461"/>
      <c r="FT53" s="461"/>
      <c r="FU53" s="461"/>
      <c r="FV53" s="461"/>
      <c r="FW53" s="461"/>
      <c r="FX53" s="461"/>
      <c r="FY53" s="461"/>
      <c r="FZ53" s="461"/>
      <c r="GA53" s="461"/>
      <c r="GB53" s="461"/>
      <c r="GC53" s="461"/>
      <c r="GD53" s="469"/>
      <c r="GE53" s="469"/>
      <c r="GF53" s="469"/>
      <c r="GG53" s="469"/>
      <c r="GH53" s="469"/>
      <c r="GI53" s="469"/>
      <c r="GJ53" s="469"/>
      <c r="GK53" s="469"/>
      <c r="GL53" s="469">
        <v>184.2819852500194</v>
      </c>
      <c r="GM53" s="458"/>
      <c r="GN53" s="469"/>
      <c r="GO53" s="469"/>
      <c r="GP53" s="468"/>
    </row>
    <row r="54" spans="1:198" x14ac:dyDescent="0.25">
      <c r="A54" s="465" t="s">
        <v>1631</v>
      </c>
      <c r="B54" s="461"/>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c r="AA54" s="461"/>
      <c r="AB54" s="461"/>
      <c r="AC54" s="461"/>
      <c r="AD54" s="461"/>
      <c r="AE54" s="461"/>
      <c r="AF54" s="461"/>
      <c r="AG54" s="461"/>
      <c r="AH54" s="461"/>
      <c r="AI54" s="461"/>
      <c r="AJ54" s="461"/>
      <c r="AK54" s="461"/>
      <c r="AL54" s="461"/>
      <c r="AM54" s="461"/>
      <c r="AN54" s="461"/>
      <c r="AO54" s="461"/>
      <c r="AP54" s="461"/>
      <c r="AQ54" s="461"/>
      <c r="AR54" s="461"/>
      <c r="AS54" s="461"/>
      <c r="AT54" s="461"/>
      <c r="AU54" s="461"/>
      <c r="AV54" s="461"/>
      <c r="AW54" s="461"/>
      <c r="AX54" s="461"/>
      <c r="AY54" s="461"/>
      <c r="AZ54" s="461"/>
      <c r="BA54" s="461"/>
      <c r="BB54" s="461"/>
      <c r="BC54" s="461"/>
      <c r="BD54" s="461"/>
      <c r="BE54" s="461"/>
      <c r="BF54" s="461"/>
      <c r="BG54" s="461"/>
      <c r="BH54" s="461"/>
      <c r="BI54" s="461"/>
      <c r="BJ54" s="461"/>
      <c r="BK54" s="461"/>
      <c r="BL54" s="461"/>
      <c r="BM54" s="461"/>
      <c r="BN54" s="461"/>
      <c r="BO54" s="461"/>
      <c r="BP54" s="461"/>
      <c r="BQ54" s="461"/>
      <c r="BR54" s="461"/>
      <c r="BS54" s="461"/>
      <c r="BT54" s="461"/>
      <c r="BU54" s="461"/>
      <c r="BV54" s="461"/>
      <c r="BW54" s="461"/>
      <c r="BX54" s="461"/>
      <c r="BY54" s="461"/>
      <c r="BZ54" s="461"/>
      <c r="CA54" s="461"/>
      <c r="CB54" s="461"/>
      <c r="CC54" s="461"/>
      <c r="CD54" s="461"/>
      <c r="CE54" s="461"/>
      <c r="CF54" s="461"/>
      <c r="CG54" s="461"/>
      <c r="CH54" s="461"/>
      <c r="CI54" s="461"/>
      <c r="CJ54" s="461"/>
      <c r="CK54" s="461"/>
      <c r="CL54" s="461"/>
      <c r="CM54" s="461"/>
      <c r="CN54" s="461"/>
      <c r="CO54" s="461"/>
      <c r="CP54" s="461"/>
      <c r="CQ54" s="461"/>
      <c r="CR54" s="461"/>
      <c r="CS54" s="461"/>
      <c r="CT54" s="461"/>
      <c r="CU54" s="461"/>
      <c r="CV54" s="461"/>
      <c r="CW54" s="461"/>
      <c r="CX54" s="461"/>
      <c r="CY54" s="461"/>
      <c r="CZ54" s="461"/>
      <c r="DA54" s="461"/>
      <c r="DB54" s="461"/>
      <c r="DC54" s="461"/>
      <c r="DD54" s="461"/>
      <c r="DE54" s="461"/>
      <c r="DF54" s="461"/>
      <c r="DG54" s="461"/>
      <c r="DH54" s="461"/>
      <c r="DI54" s="461"/>
      <c r="DJ54" s="461"/>
      <c r="DK54" s="461"/>
      <c r="DL54" s="461"/>
      <c r="DM54" s="461"/>
      <c r="DN54" s="461"/>
      <c r="DO54" s="461"/>
      <c r="DP54" s="461"/>
      <c r="DQ54" s="461"/>
      <c r="DR54" s="461"/>
      <c r="DS54" s="461"/>
      <c r="DT54" s="461"/>
      <c r="DU54" s="461"/>
      <c r="DV54" s="461"/>
      <c r="DW54" s="461"/>
      <c r="DX54" s="461"/>
      <c r="DY54" s="461"/>
      <c r="DZ54" s="461">
        <v>23.560161283309185</v>
      </c>
      <c r="EA54" s="461"/>
      <c r="EB54" s="461"/>
      <c r="EC54" s="461"/>
      <c r="ED54" s="461"/>
      <c r="EE54" s="461"/>
      <c r="EF54" s="461"/>
      <c r="EG54" s="461"/>
      <c r="EH54" s="461"/>
      <c r="EI54" s="461"/>
      <c r="EJ54" s="461"/>
      <c r="EK54" s="461"/>
      <c r="EL54" s="461"/>
      <c r="EM54" s="461"/>
      <c r="EN54" s="461"/>
      <c r="EO54" s="461"/>
      <c r="EP54" s="461"/>
      <c r="EQ54" s="461"/>
      <c r="ER54" s="461"/>
      <c r="ES54" s="461"/>
      <c r="ET54" s="461"/>
      <c r="EU54" s="461"/>
      <c r="EV54" s="461"/>
      <c r="EW54" s="461"/>
      <c r="EX54" s="461"/>
      <c r="EY54" s="461"/>
      <c r="EZ54" s="461"/>
      <c r="FA54" s="461"/>
      <c r="FB54" s="461"/>
      <c r="FC54" s="461"/>
      <c r="FD54" s="461"/>
      <c r="FE54" s="461"/>
      <c r="FF54" s="461"/>
      <c r="FG54" s="461"/>
      <c r="FH54" s="461"/>
      <c r="FI54" s="461"/>
      <c r="FJ54" s="461"/>
      <c r="FK54" s="461"/>
      <c r="FL54" s="461"/>
      <c r="FM54" s="461"/>
      <c r="FN54" s="461"/>
      <c r="FO54" s="461"/>
      <c r="FP54" s="461"/>
      <c r="FQ54" s="461"/>
      <c r="FR54" s="461"/>
      <c r="FS54" s="461"/>
      <c r="FT54" s="461"/>
      <c r="FU54" s="461"/>
      <c r="FV54" s="461"/>
      <c r="FW54" s="461"/>
      <c r="FX54" s="461"/>
      <c r="FY54" s="461"/>
      <c r="FZ54" s="461"/>
      <c r="GA54" s="461"/>
      <c r="GB54" s="461"/>
      <c r="GC54" s="461"/>
      <c r="GD54" s="469"/>
      <c r="GE54" s="469"/>
      <c r="GF54" s="469"/>
      <c r="GG54" s="469"/>
      <c r="GH54" s="469"/>
      <c r="GI54" s="469"/>
      <c r="GJ54" s="469"/>
      <c r="GK54" s="469"/>
      <c r="GL54" s="469">
        <v>23.560161283309185</v>
      </c>
      <c r="GM54" s="458"/>
      <c r="GN54" s="469"/>
      <c r="GO54" s="469"/>
      <c r="GP54" s="468"/>
    </row>
    <row r="55" spans="1:198" x14ac:dyDescent="0.25">
      <c r="A55" s="465" t="s">
        <v>1630</v>
      </c>
      <c r="B55" s="461"/>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c r="AA55" s="461"/>
      <c r="AB55" s="461"/>
      <c r="AC55" s="461"/>
      <c r="AD55" s="461"/>
      <c r="AE55" s="461"/>
      <c r="AF55" s="461"/>
      <c r="AG55" s="461"/>
      <c r="AH55" s="461"/>
      <c r="AI55" s="461"/>
      <c r="AJ55" s="461"/>
      <c r="AK55" s="461"/>
      <c r="AL55" s="461"/>
      <c r="AM55" s="461"/>
      <c r="AN55" s="461"/>
      <c r="AO55" s="461"/>
      <c r="AP55" s="461"/>
      <c r="AQ55" s="461"/>
      <c r="AR55" s="461"/>
      <c r="AS55" s="461"/>
      <c r="AT55" s="461"/>
      <c r="AU55" s="461"/>
      <c r="AV55" s="461"/>
      <c r="AW55" s="461"/>
      <c r="AX55" s="461"/>
      <c r="AY55" s="461"/>
      <c r="AZ55" s="461"/>
      <c r="BA55" s="461"/>
      <c r="BB55" s="461"/>
      <c r="BC55" s="461"/>
      <c r="BD55" s="461"/>
      <c r="BE55" s="461"/>
      <c r="BF55" s="461"/>
      <c r="BG55" s="461"/>
      <c r="BH55" s="461"/>
      <c r="BI55" s="461"/>
      <c r="BJ55" s="461"/>
      <c r="BK55" s="461"/>
      <c r="BL55" s="461"/>
      <c r="BM55" s="461"/>
      <c r="BN55" s="461"/>
      <c r="BO55" s="461"/>
      <c r="BP55" s="461"/>
      <c r="BQ55" s="461"/>
      <c r="BR55" s="461"/>
      <c r="BS55" s="461"/>
      <c r="BT55" s="461"/>
      <c r="BU55" s="461"/>
      <c r="BV55" s="461"/>
      <c r="BW55" s="461"/>
      <c r="BX55" s="461"/>
      <c r="BY55" s="461"/>
      <c r="BZ55" s="461"/>
      <c r="CA55" s="461"/>
      <c r="CB55" s="461"/>
      <c r="CC55" s="461"/>
      <c r="CD55" s="461"/>
      <c r="CE55" s="461"/>
      <c r="CF55" s="461"/>
      <c r="CG55" s="461"/>
      <c r="CH55" s="461"/>
      <c r="CI55" s="461"/>
      <c r="CJ55" s="461"/>
      <c r="CK55" s="461"/>
      <c r="CL55" s="461"/>
      <c r="CM55" s="461"/>
      <c r="CN55" s="461"/>
      <c r="CO55" s="461"/>
      <c r="CP55" s="461"/>
      <c r="CQ55" s="461"/>
      <c r="CR55" s="461"/>
      <c r="CS55" s="461"/>
      <c r="CT55" s="461"/>
      <c r="CU55" s="461"/>
      <c r="CV55" s="461"/>
      <c r="CW55" s="461"/>
      <c r="CX55" s="461"/>
      <c r="CY55" s="461"/>
      <c r="CZ55" s="461"/>
      <c r="DA55" s="461"/>
      <c r="DB55" s="461"/>
      <c r="DC55" s="461"/>
      <c r="DD55" s="461"/>
      <c r="DE55" s="461"/>
      <c r="DF55" s="461"/>
      <c r="DG55" s="461"/>
      <c r="DH55" s="461"/>
      <c r="DI55" s="461"/>
      <c r="DJ55" s="461"/>
      <c r="DK55" s="461"/>
      <c r="DL55" s="461"/>
      <c r="DM55" s="461"/>
      <c r="DN55" s="461"/>
      <c r="DO55" s="461"/>
      <c r="DP55" s="461"/>
      <c r="DQ55" s="461"/>
      <c r="DR55" s="461"/>
      <c r="DS55" s="461"/>
      <c r="DT55" s="461"/>
      <c r="DU55" s="461"/>
      <c r="DV55" s="461"/>
      <c r="DW55" s="461"/>
      <c r="DX55" s="461"/>
      <c r="DY55" s="461"/>
      <c r="DZ55" s="461"/>
      <c r="EA55" s="461">
        <v>53.093275819715046</v>
      </c>
      <c r="EB55" s="461"/>
      <c r="EC55" s="461"/>
      <c r="ED55" s="461"/>
      <c r="EE55" s="461"/>
      <c r="EF55" s="461"/>
      <c r="EG55" s="461"/>
      <c r="EH55" s="461"/>
      <c r="EI55" s="461"/>
      <c r="EJ55" s="461"/>
      <c r="EK55" s="461"/>
      <c r="EL55" s="461"/>
      <c r="EM55" s="461"/>
      <c r="EN55" s="461"/>
      <c r="EO55" s="461"/>
      <c r="EP55" s="461"/>
      <c r="EQ55" s="461"/>
      <c r="ER55" s="461"/>
      <c r="ES55" s="461"/>
      <c r="ET55" s="461"/>
      <c r="EU55" s="461"/>
      <c r="EV55" s="461"/>
      <c r="EW55" s="461"/>
      <c r="EX55" s="461"/>
      <c r="EY55" s="461"/>
      <c r="EZ55" s="461"/>
      <c r="FA55" s="461"/>
      <c r="FB55" s="461"/>
      <c r="FC55" s="461"/>
      <c r="FD55" s="461"/>
      <c r="FE55" s="461"/>
      <c r="FF55" s="461"/>
      <c r="FG55" s="461"/>
      <c r="FH55" s="461"/>
      <c r="FI55" s="461"/>
      <c r="FJ55" s="461"/>
      <c r="FK55" s="461"/>
      <c r="FL55" s="461"/>
      <c r="FM55" s="461"/>
      <c r="FN55" s="461"/>
      <c r="FO55" s="461"/>
      <c r="FP55" s="461"/>
      <c r="FQ55" s="461"/>
      <c r="FR55" s="461"/>
      <c r="FS55" s="461"/>
      <c r="FT55" s="461"/>
      <c r="FU55" s="461"/>
      <c r="FV55" s="461"/>
      <c r="FW55" s="461"/>
      <c r="FX55" s="461"/>
      <c r="FY55" s="461"/>
      <c r="FZ55" s="461"/>
      <c r="GA55" s="461"/>
      <c r="GB55" s="461"/>
      <c r="GC55" s="461"/>
      <c r="GD55" s="469"/>
      <c r="GE55" s="469"/>
      <c r="GF55" s="469"/>
      <c r="GG55" s="469"/>
      <c r="GH55" s="469"/>
      <c r="GI55" s="469"/>
      <c r="GJ55" s="469"/>
      <c r="GK55" s="469"/>
      <c r="GL55" s="469">
        <v>53.093275819715046</v>
      </c>
      <c r="GM55" s="458"/>
      <c r="GN55" s="469"/>
      <c r="GO55" s="469"/>
      <c r="GP55" s="468"/>
    </row>
    <row r="56" spans="1:198" x14ac:dyDescent="0.25">
      <c r="A56" s="465" t="s">
        <v>1628</v>
      </c>
      <c r="B56" s="461"/>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c r="AA56" s="461"/>
      <c r="AB56" s="461"/>
      <c r="AC56" s="461"/>
      <c r="AD56" s="461"/>
      <c r="AE56" s="461"/>
      <c r="AF56" s="461"/>
      <c r="AG56" s="461"/>
      <c r="AH56" s="461"/>
      <c r="AI56" s="461"/>
      <c r="AJ56" s="461"/>
      <c r="AK56" s="461"/>
      <c r="AL56" s="461"/>
      <c r="AM56" s="461"/>
      <c r="AN56" s="461"/>
      <c r="AO56" s="461"/>
      <c r="AP56" s="461"/>
      <c r="AQ56" s="461"/>
      <c r="AR56" s="461"/>
      <c r="AS56" s="461"/>
      <c r="AT56" s="461"/>
      <c r="AU56" s="461"/>
      <c r="AV56" s="461"/>
      <c r="AW56" s="461"/>
      <c r="AX56" s="461"/>
      <c r="AY56" s="461"/>
      <c r="AZ56" s="461"/>
      <c r="BA56" s="461"/>
      <c r="BB56" s="461"/>
      <c r="BC56" s="461"/>
      <c r="BD56" s="461"/>
      <c r="BE56" s="461"/>
      <c r="BF56" s="461"/>
      <c r="BG56" s="461"/>
      <c r="BH56" s="461"/>
      <c r="BI56" s="461"/>
      <c r="BJ56" s="461"/>
      <c r="BK56" s="461"/>
      <c r="BL56" s="461"/>
      <c r="BM56" s="461"/>
      <c r="BN56" s="461"/>
      <c r="BO56" s="461"/>
      <c r="BP56" s="461"/>
      <c r="BQ56" s="461"/>
      <c r="BR56" s="461"/>
      <c r="BS56" s="461"/>
      <c r="BT56" s="461"/>
      <c r="BU56" s="461"/>
      <c r="BV56" s="461"/>
      <c r="BW56" s="461"/>
      <c r="BX56" s="461"/>
      <c r="BY56" s="461"/>
      <c r="BZ56" s="461"/>
      <c r="CA56" s="461"/>
      <c r="CB56" s="461"/>
      <c r="CC56" s="461"/>
      <c r="CD56" s="461"/>
      <c r="CE56" s="461"/>
      <c r="CF56" s="461"/>
      <c r="CG56" s="461"/>
      <c r="CH56" s="461"/>
      <c r="CI56" s="461"/>
      <c r="CJ56" s="461"/>
      <c r="CK56" s="461"/>
      <c r="CL56" s="461"/>
      <c r="CM56" s="461"/>
      <c r="CN56" s="461"/>
      <c r="CO56" s="461"/>
      <c r="CP56" s="461"/>
      <c r="CQ56" s="461"/>
      <c r="CR56" s="461"/>
      <c r="CS56" s="461"/>
      <c r="CT56" s="461"/>
      <c r="CU56" s="461"/>
      <c r="CV56" s="461"/>
      <c r="CW56" s="461"/>
      <c r="CX56" s="461"/>
      <c r="CY56" s="461"/>
      <c r="CZ56" s="461"/>
      <c r="DA56" s="461"/>
      <c r="DB56" s="461"/>
      <c r="DC56" s="461"/>
      <c r="DD56" s="461"/>
      <c r="DE56" s="461"/>
      <c r="DF56" s="461"/>
      <c r="DG56" s="461"/>
      <c r="DH56" s="461"/>
      <c r="DI56" s="461"/>
      <c r="DJ56" s="461"/>
      <c r="DK56" s="461"/>
      <c r="DL56" s="461"/>
      <c r="DM56" s="461"/>
      <c r="DN56" s="461"/>
      <c r="DO56" s="461"/>
      <c r="DP56" s="461"/>
      <c r="DQ56" s="461"/>
      <c r="DR56" s="461"/>
      <c r="DS56" s="461"/>
      <c r="DT56" s="461"/>
      <c r="DU56" s="461"/>
      <c r="DV56" s="461"/>
      <c r="DW56" s="461"/>
      <c r="DX56" s="461"/>
      <c r="DY56" s="461"/>
      <c r="DZ56" s="461"/>
      <c r="EA56" s="461"/>
      <c r="EB56" s="461">
        <v>75.375536333559324</v>
      </c>
      <c r="EC56" s="461"/>
      <c r="ED56" s="461"/>
      <c r="EE56" s="461"/>
      <c r="EF56" s="461"/>
      <c r="EG56" s="461"/>
      <c r="EH56" s="461"/>
      <c r="EI56" s="461"/>
      <c r="EJ56" s="461"/>
      <c r="EK56" s="461"/>
      <c r="EL56" s="461"/>
      <c r="EM56" s="461"/>
      <c r="EN56" s="461"/>
      <c r="EO56" s="461"/>
      <c r="EP56" s="461"/>
      <c r="EQ56" s="461"/>
      <c r="ER56" s="461"/>
      <c r="ES56" s="461"/>
      <c r="ET56" s="461"/>
      <c r="EU56" s="461"/>
      <c r="EV56" s="461"/>
      <c r="EW56" s="461"/>
      <c r="EX56" s="461"/>
      <c r="EY56" s="461"/>
      <c r="EZ56" s="461"/>
      <c r="FA56" s="461"/>
      <c r="FB56" s="461"/>
      <c r="FC56" s="461"/>
      <c r="FD56" s="461"/>
      <c r="FE56" s="461"/>
      <c r="FF56" s="461"/>
      <c r="FG56" s="461"/>
      <c r="FH56" s="461"/>
      <c r="FI56" s="461"/>
      <c r="FJ56" s="461"/>
      <c r="FK56" s="461"/>
      <c r="FL56" s="461"/>
      <c r="FM56" s="461"/>
      <c r="FN56" s="461"/>
      <c r="FO56" s="461"/>
      <c r="FP56" s="461"/>
      <c r="FQ56" s="461"/>
      <c r="FR56" s="461"/>
      <c r="FS56" s="461"/>
      <c r="FT56" s="461"/>
      <c r="FU56" s="461"/>
      <c r="FV56" s="461"/>
      <c r="FW56" s="461"/>
      <c r="FX56" s="461"/>
      <c r="FY56" s="461"/>
      <c r="FZ56" s="461"/>
      <c r="GA56" s="461"/>
      <c r="GB56" s="461"/>
      <c r="GC56" s="461"/>
      <c r="GD56" s="469"/>
      <c r="GE56" s="469"/>
      <c r="GF56" s="469"/>
      <c r="GG56" s="469"/>
      <c r="GH56" s="469"/>
      <c r="GI56" s="469"/>
      <c r="GJ56" s="469"/>
      <c r="GK56" s="469"/>
      <c r="GL56" s="469">
        <v>75.375536333559324</v>
      </c>
      <c r="GM56" s="458"/>
      <c r="GN56" s="469"/>
      <c r="GO56" s="469"/>
      <c r="GP56" s="468"/>
    </row>
    <row r="57" spans="1:198" x14ac:dyDescent="0.25">
      <c r="A57" s="465" t="s">
        <v>1627</v>
      </c>
      <c r="B57" s="461"/>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c r="AA57" s="461"/>
      <c r="AB57" s="461"/>
      <c r="AC57" s="461"/>
      <c r="AD57" s="461"/>
      <c r="AE57" s="461"/>
      <c r="AF57" s="461"/>
      <c r="AG57" s="461"/>
      <c r="AH57" s="461"/>
      <c r="AI57" s="461"/>
      <c r="AJ57" s="461"/>
      <c r="AK57" s="461"/>
      <c r="AL57" s="461"/>
      <c r="AM57" s="461"/>
      <c r="AN57" s="461"/>
      <c r="AO57" s="461"/>
      <c r="AP57" s="461"/>
      <c r="AQ57" s="461"/>
      <c r="AR57" s="461"/>
      <c r="AS57" s="461"/>
      <c r="AT57" s="461"/>
      <c r="AU57" s="461"/>
      <c r="AV57" s="461"/>
      <c r="AW57" s="461"/>
      <c r="AX57" s="461"/>
      <c r="AY57" s="461"/>
      <c r="AZ57" s="461"/>
      <c r="BA57" s="461"/>
      <c r="BB57" s="461"/>
      <c r="BC57" s="461"/>
      <c r="BD57" s="461"/>
      <c r="BE57" s="461"/>
      <c r="BF57" s="461"/>
      <c r="BG57" s="461"/>
      <c r="BH57" s="461"/>
      <c r="BI57" s="461"/>
      <c r="BJ57" s="461"/>
      <c r="BK57" s="461"/>
      <c r="BL57" s="461"/>
      <c r="BM57" s="461"/>
      <c r="BN57" s="461"/>
      <c r="BO57" s="461"/>
      <c r="BP57" s="461"/>
      <c r="BQ57" s="461"/>
      <c r="BR57" s="461"/>
      <c r="BS57" s="461"/>
      <c r="BT57" s="461"/>
      <c r="BU57" s="461"/>
      <c r="BV57" s="461"/>
      <c r="BW57" s="461"/>
      <c r="BX57" s="461"/>
      <c r="BY57" s="461"/>
      <c r="BZ57" s="461"/>
      <c r="CA57" s="461"/>
      <c r="CB57" s="461"/>
      <c r="CC57" s="461"/>
      <c r="CD57" s="461"/>
      <c r="CE57" s="461"/>
      <c r="CF57" s="461"/>
      <c r="CG57" s="461"/>
      <c r="CH57" s="461"/>
      <c r="CI57" s="461"/>
      <c r="CJ57" s="461"/>
      <c r="CK57" s="461"/>
      <c r="CL57" s="461"/>
      <c r="CM57" s="461"/>
      <c r="CN57" s="461"/>
      <c r="CO57" s="461"/>
      <c r="CP57" s="461"/>
      <c r="CQ57" s="461"/>
      <c r="CR57" s="461"/>
      <c r="CS57" s="461"/>
      <c r="CT57" s="461"/>
      <c r="CU57" s="461"/>
      <c r="CV57" s="461"/>
      <c r="CW57" s="461"/>
      <c r="CX57" s="461"/>
      <c r="CY57" s="461"/>
      <c r="CZ57" s="461"/>
      <c r="DA57" s="461"/>
      <c r="DB57" s="461"/>
      <c r="DC57" s="461"/>
      <c r="DD57" s="461"/>
      <c r="DE57" s="461"/>
      <c r="DF57" s="461"/>
      <c r="DG57" s="461"/>
      <c r="DH57" s="461"/>
      <c r="DI57" s="461"/>
      <c r="DJ57" s="461"/>
      <c r="DK57" s="461"/>
      <c r="DL57" s="461"/>
      <c r="DM57" s="461"/>
      <c r="DN57" s="461"/>
      <c r="DO57" s="461"/>
      <c r="DP57" s="461"/>
      <c r="DQ57" s="461"/>
      <c r="DR57" s="461"/>
      <c r="DS57" s="461"/>
      <c r="DT57" s="461"/>
      <c r="DU57" s="461"/>
      <c r="DV57" s="461"/>
      <c r="DW57" s="461"/>
      <c r="DX57" s="461"/>
      <c r="DY57" s="461"/>
      <c r="DZ57" s="461"/>
      <c r="EA57" s="461"/>
      <c r="EB57" s="461"/>
      <c r="EC57" s="461">
        <v>202.45140092874735</v>
      </c>
      <c r="ED57" s="461"/>
      <c r="EE57" s="461"/>
      <c r="EF57" s="461"/>
      <c r="EG57" s="461"/>
      <c r="EH57" s="461"/>
      <c r="EI57" s="461"/>
      <c r="EJ57" s="461"/>
      <c r="EK57" s="461"/>
      <c r="EL57" s="461"/>
      <c r="EM57" s="461"/>
      <c r="EN57" s="461"/>
      <c r="EO57" s="461"/>
      <c r="EP57" s="461"/>
      <c r="EQ57" s="461"/>
      <c r="ER57" s="461"/>
      <c r="ES57" s="461"/>
      <c r="ET57" s="461"/>
      <c r="EU57" s="461"/>
      <c r="EV57" s="461"/>
      <c r="EW57" s="461"/>
      <c r="EX57" s="461"/>
      <c r="EY57" s="461"/>
      <c r="EZ57" s="461"/>
      <c r="FA57" s="461"/>
      <c r="FB57" s="461"/>
      <c r="FC57" s="461"/>
      <c r="FD57" s="461"/>
      <c r="FE57" s="461"/>
      <c r="FF57" s="461"/>
      <c r="FG57" s="461"/>
      <c r="FH57" s="461"/>
      <c r="FI57" s="461"/>
      <c r="FJ57" s="461"/>
      <c r="FK57" s="461"/>
      <c r="FL57" s="461"/>
      <c r="FM57" s="461"/>
      <c r="FN57" s="461"/>
      <c r="FO57" s="461"/>
      <c r="FP57" s="461"/>
      <c r="FQ57" s="461"/>
      <c r="FR57" s="461"/>
      <c r="FS57" s="461"/>
      <c r="FT57" s="461"/>
      <c r="FU57" s="461"/>
      <c r="FV57" s="461"/>
      <c r="FW57" s="461"/>
      <c r="FX57" s="461"/>
      <c r="FY57" s="461"/>
      <c r="FZ57" s="461"/>
      <c r="GA57" s="461"/>
      <c r="GB57" s="461"/>
      <c r="GC57" s="461"/>
      <c r="GD57" s="469"/>
      <c r="GE57" s="469"/>
      <c r="GF57" s="469"/>
      <c r="GG57" s="469"/>
      <c r="GH57" s="469"/>
      <c r="GI57" s="469"/>
      <c r="GJ57" s="469"/>
      <c r="GK57" s="469"/>
      <c r="GL57" s="469">
        <v>202.45140092874735</v>
      </c>
      <c r="GM57" s="458"/>
      <c r="GN57" s="469"/>
      <c r="GO57" s="469"/>
      <c r="GP57" s="468"/>
    </row>
    <row r="58" spans="1:198" x14ac:dyDescent="0.25">
      <c r="A58" s="465" t="s">
        <v>1626</v>
      </c>
      <c r="B58" s="461"/>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c r="AB58" s="461"/>
      <c r="AC58" s="461"/>
      <c r="AD58" s="461"/>
      <c r="AE58" s="461"/>
      <c r="AF58" s="461"/>
      <c r="AG58" s="461"/>
      <c r="AH58" s="461"/>
      <c r="AI58" s="461"/>
      <c r="AJ58" s="461"/>
      <c r="AK58" s="461"/>
      <c r="AL58" s="461"/>
      <c r="AM58" s="461"/>
      <c r="AN58" s="461"/>
      <c r="AO58" s="461"/>
      <c r="AP58" s="461"/>
      <c r="AQ58" s="461"/>
      <c r="AR58" s="461"/>
      <c r="AS58" s="461"/>
      <c r="AT58" s="461"/>
      <c r="AU58" s="461"/>
      <c r="AV58" s="461"/>
      <c r="AW58" s="461"/>
      <c r="AX58" s="461"/>
      <c r="AY58" s="461"/>
      <c r="AZ58" s="461"/>
      <c r="BA58" s="461"/>
      <c r="BB58" s="461"/>
      <c r="BC58" s="461"/>
      <c r="BD58" s="461"/>
      <c r="BE58" s="461"/>
      <c r="BF58" s="461"/>
      <c r="BG58" s="461"/>
      <c r="BH58" s="461"/>
      <c r="BI58" s="461"/>
      <c r="BJ58" s="461"/>
      <c r="BK58" s="461"/>
      <c r="BL58" s="461"/>
      <c r="BM58" s="461"/>
      <c r="BN58" s="461"/>
      <c r="BO58" s="461"/>
      <c r="BP58" s="461"/>
      <c r="BQ58" s="461"/>
      <c r="BR58" s="461"/>
      <c r="BS58" s="461"/>
      <c r="BT58" s="461"/>
      <c r="BU58" s="461"/>
      <c r="BV58" s="461"/>
      <c r="BW58" s="461"/>
      <c r="BX58" s="461"/>
      <c r="BY58" s="461"/>
      <c r="BZ58" s="461"/>
      <c r="CA58" s="461"/>
      <c r="CB58" s="461"/>
      <c r="CC58" s="461"/>
      <c r="CD58" s="461"/>
      <c r="CE58" s="461"/>
      <c r="CF58" s="461"/>
      <c r="CG58" s="461"/>
      <c r="CH58" s="461"/>
      <c r="CI58" s="461"/>
      <c r="CJ58" s="461"/>
      <c r="CK58" s="461"/>
      <c r="CL58" s="461"/>
      <c r="CM58" s="461"/>
      <c r="CN58" s="461"/>
      <c r="CO58" s="461"/>
      <c r="CP58" s="461"/>
      <c r="CQ58" s="461"/>
      <c r="CR58" s="461"/>
      <c r="CS58" s="461"/>
      <c r="CT58" s="461"/>
      <c r="CU58" s="461"/>
      <c r="CV58" s="461"/>
      <c r="CW58" s="461"/>
      <c r="CX58" s="461"/>
      <c r="CY58" s="461"/>
      <c r="CZ58" s="461"/>
      <c r="DA58" s="461"/>
      <c r="DB58" s="461"/>
      <c r="DC58" s="461"/>
      <c r="DD58" s="461"/>
      <c r="DE58" s="461"/>
      <c r="DF58" s="461"/>
      <c r="DG58" s="461"/>
      <c r="DH58" s="461"/>
      <c r="DI58" s="461"/>
      <c r="DJ58" s="461"/>
      <c r="DK58" s="461"/>
      <c r="DL58" s="461"/>
      <c r="DM58" s="461"/>
      <c r="DN58" s="461"/>
      <c r="DO58" s="461"/>
      <c r="DP58" s="461"/>
      <c r="DQ58" s="461"/>
      <c r="DR58" s="461"/>
      <c r="DS58" s="461"/>
      <c r="DT58" s="461"/>
      <c r="DU58" s="461"/>
      <c r="DV58" s="461"/>
      <c r="DW58" s="461"/>
      <c r="DX58" s="461"/>
      <c r="DY58" s="461"/>
      <c r="DZ58" s="461"/>
      <c r="EA58" s="461"/>
      <c r="EB58" s="461"/>
      <c r="EC58" s="461"/>
      <c r="ED58" s="461">
        <v>76.346885513507459</v>
      </c>
      <c r="EE58" s="461"/>
      <c r="EF58" s="461"/>
      <c r="EG58" s="461"/>
      <c r="EH58" s="461"/>
      <c r="EI58" s="461"/>
      <c r="EJ58" s="461"/>
      <c r="EK58" s="461"/>
      <c r="EL58" s="461"/>
      <c r="EM58" s="461"/>
      <c r="EN58" s="461"/>
      <c r="EO58" s="461"/>
      <c r="EP58" s="461"/>
      <c r="EQ58" s="461"/>
      <c r="ER58" s="461"/>
      <c r="ES58" s="461"/>
      <c r="ET58" s="461"/>
      <c r="EU58" s="461"/>
      <c r="EV58" s="461"/>
      <c r="EW58" s="461"/>
      <c r="EX58" s="461"/>
      <c r="EY58" s="461"/>
      <c r="EZ58" s="461"/>
      <c r="FA58" s="461"/>
      <c r="FB58" s="461"/>
      <c r="FC58" s="461"/>
      <c r="FD58" s="461"/>
      <c r="FE58" s="461"/>
      <c r="FF58" s="461"/>
      <c r="FG58" s="461"/>
      <c r="FH58" s="461"/>
      <c r="FI58" s="461"/>
      <c r="FJ58" s="461"/>
      <c r="FK58" s="461"/>
      <c r="FL58" s="461"/>
      <c r="FM58" s="461"/>
      <c r="FN58" s="461"/>
      <c r="FO58" s="461"/>
      <c r="FP58" s="461"/>
      <c r="FQ58" s="461"/>
      <c r="FR58" s="461"/>
      <c r="FS58" s="461"/>
      <c r="FT58" s="461"/>
      <c r="FU58" s="461"/>
      <c r="FV58" s="461"/>
      <c r="FW58" s="461"/>
      <c r="FX58" s="461"/>
      <c r="FY58" s="461"/>
      <c r="FZ58" s="461"/>
      <c r="GA58" s="461"/>
      <c r="GB58" s="461"/>
      <c r="GC58" s="461"/>
      <c r="GD58" s="469"/>
      <c r="GE58" s="469"/>
      <c r="GF58" s="469"/>
      <c r="GG58" s="469"/>
      <c r="GH58" s="469"/>
      <c r="GI58" s="469"/>
      <c r="GJ58" s="469"/>
      <c r="GK58" s="469"/>
      <c r="GL58" s="469">
        <v>76.346885513507459</v>
      </c>
      <c r="GM58" s="458"/>
      <c r="GN58" s="469"/>
      <c r="GO58" s="469"/>
      <c r="GP58" s="468"/>
    </row>
    <row r="59" spans="1:198" x14ac:dyDescent="0.25">
      <c r="A59" s="465" t="s">
        <v>1625</v>
      </c>
      <c r="B59" s="461"/>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c r="AB59" s="461"/>
      <c r="AC59" s="461"/>
      <c r="AD59" s="461"/>
      <c r="AE59" s="461"/>
      <c r="AF59" s="461"/>
      <c r="AG59" s="461"/>
      <c r="AH59" s="461"/>
      <c r="AI59" s="461"/>
      <c r="AJ59" s="461"/>
      <c r="AK59" s="461"/>
      <c r="AL59" s="461"/>
      <c r="AM59" s="461"/>
      <c r="AN59" s="461"/>
      <c r="AO59" s="461"/>
      <c r="AP59" s="461"/>
      <c r="AQ59" s="461"/>
      <c r="AR59" s="461"/>
      <c r="AS59" s="461"/>
      <c r="AT59" s="461"/>
      <c r="AU59" s="461"/>
      <c r="AV59" s="461"/>
      <c r="AW59" s="461"/>
      <c r="AX59" s="461"/>
      <c r="AY59" s="461"/>
      <c r="AZ59" s="461"/>
      <c r="BA59" s="461"/>
      <c r="BB59" s="461"/>
      <c r="BC59" s="461"/>
      <c r="BD59" s="461"/>
      <c r="BE59" s="461"/>
      <c r="BF59" s="461"/>
      <c r="BG59" s="461"/>
      <c r="BH59" s="461"/>
      <c r="BI59" s="461"/>
      <c r="BJ59" s="461"/>
      <c r="BK59" s="461"/>
      <c r="BL59" s="461"/>
      <c r="BM59" s="461"/>
      <c r="BN59" s="461"/>
      <c r="BO59" s="461"/>
      <c r="BP59" s="461"/>
      <c r="BQ59" s="461"/>
      <c r="BR59" s="461"/>
      <c r="BS59" s="461"/>
      <c r="BT59" s="461"/>
      <c r="BU59" s="461"/>
      <c r="BV59" s="461"/>
      <c r="BW59" s="461"/>
      <c r="BX59" s="461"/>
      <c r="BY59" s="461"/>
      <c r="BZ59" s="461"/>
      <c r="CA59" s="461"/>
      <c r="CB59" s="461"/>
      <c r="CC59" s="461"/>
      <c r="CD59" s="461"/>
      <c r="CE59" s="461"/>
      <c r="CF59" s="461"/>
      <c r="CG59" s="461"/>
      <c r="CH59" s="461"/>
      <c r="CI59" s="461"/>
      <c r="CJ59" s="461"/>
      <c r="CK59" s="461"/>
      <c r="CL59" s="461"/>
      <c r="CM59" s="461"/>
      <c r="CN59" s="461"/>
      <c r="CO59" s="461"/>
      <c r="CP59" s="461"/>
      <c r="CQ59" s="461"/>
      <c r="CR59" s="461"/>
      <c r="CS59" s="461"/>
      <c r="CT59" s="461"/>
      <c r="CU59" s="461"/>
      <c r="CV59" s="461"/>
      <c r="CW59" s="461"/>
      <c r="CX59" s="461"/>
      <c r="CY59" s="461"/>
      <c r="CZ59" s="461"/>
      <c r="DA59" s="461"/>
      <c r="DB59" s="461"/>
      <c r="DC59" s="461"/>
      <c r="DD59" s="461"/>
      <c r="DE59" s="461"/>
      <c r="DF59" s="461"/>
      <c r="DG59" s="461"/>
      <c r="DH59" s="461"/>
      <c r="DI59" s="461"/>
      <c r="DJ59" s="461"/>
      <c r="DK59" s="461"/>
      <c r="DL59" s="461"/>
      <c r="DM59" s="461"/>
      <c r="DN59" s="461"/>
      <c r="DO59" s="461"/>
      <c r="DP59" s="461"/>
      <c r="DQ59" s="461"/>
      <c r="DR59" s="461"/>
      <c r="DS59" s="461"/>
      <c r="DT59" s="461"/>
      <c r="DU59" s="461"/>
      <c r="DV59" s="461"/>
      <c r="DW59" s="461"/>
      <c r="DX59" s="461"/>
      <c r="DY59" s="461"/>
      <c r="DZ59" s="461"/>
      <c r="EA59" s="461"/>
      <c r="EB59" s="461"/>
      <c r="EC59" s="461"/>
      <c r="ED59" s="461"/>
      <c r="EE59" s="461">
        <v>116.83014669736019</v>
      </c>
      <c r="EF59" s="461"/>
      <c r="EG59" s="461"/>
      <c r="EH59" s="461"/>
      <c r="EI59" s="461"/>
      <c r="EJ59" s="461"/>
      <c r="EK59" s="461"/>
      <c r="EL59" s="461"/>
      <c r="EM59" s="461"/>
      <c r="EN59" s="461"/>
      <c r="EO59" s="461"/>
      <c r="EP59" s="461"/>
      <c r="EQ59" s="461"/>
      <c r="ER59" s="461"/>
      <c r="ES59" s="461"/>
      <c r="ET59" s="461"/>
      <c r="EU59" s="461"/>
      <c r="EV59" s="461"/>
      <c r="EW59" s="461"/>
      <c r="EX59" s="461"/>
      <c r="EY59" s="461"/>
      <c r="EZ59" s="461"/>
      <c r="FA59" s="461"/>
      <c r="FB59" s="461"/>
      <c r="FC59" s="461"/>
      <c r="FD59" s="461"/>
      <c r="FE59" s="461"/>
      <c r="FF59" s="461"/>
      <c r="FG59" s="461"/>
      <c r="FH59" s="461"/>
      <c r="FI59" s="461"/>
      <c r="FJ59" s="461"/>
      <c r="FK59" s="461"/>
      <c r="FL59" s="461"/>
      <c r="FM59" s="461"/>
      <c r="FN59" s="461"/>
      <c r="FO59" s="461"/>
      <c r="FP59" s="461"/>
      <c r="FQ59" s="461"/>
      <c r="FR59" s="461"/>
      <c r="FS59" s="461"/>
      <c r="FT59" s="461"/>
      <c r="FU59" s="461"/>
      <c r="FV59" s="461"/>
      <c r="FW59" s="461"/>
      <c r="FX59" s="461"/>
      <c r="FY59" s="461"/>
      <c r="FZ59" s="461"/>
      <c r="GA59" s="461"/>
      <c r="GB59" s="461"/>
      <c r="GC59" s="461"/>
      <c r="GD59" s="469"/>
      <c r="GE59" s="469"/>
      <c r="GF59" s="469"/>
      <c r="GG59" s="469"/>
      <c r="GH59" s="469"/>
      <c r="GI59" s="469"/>
      <c r="GJ59" s="469"/>
      <c r="GK59" s="469"/>
      <c r="GL59" s="469">
        <v>116.83014669736019</v>
      </c>
      <c r="GM59" s="458"/>
      <c r="GN59" s="469"/>
      <c r="GO59" s="469"/>
      <c r="GP59" s="468"/>
    </row>
    <row r="60" spans="1:198" x14ac:dyDescent="0.25">
      <c r="A60" s="465" t="s">
        <v>1624</v>
      </c>
      <c r="B60" s="461"/>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c r="AB60" s="461"/>
      <c r="AC60" s="461"/>
      <c r="AD60" s="461"/>
      <c r="AE60" s="461"/>
      <c r="AF60" s="461"/>
      <c r="AG60" s="461"/>
      <c r="AH60" s="461"/>
      <c r="AI60" s="461"/>
      <c r="AJ60" s="461"/>
      <c r="AK60" s="461"/>
      <c r="AL60" s="461"/>
      <c r="AM60" s="461"/>
      <c r="AN60" s="461"/>
      <c r="AO60" s="461"/>
      <c r="AP60" s="461"/>
      <c r="AQ60" s="461"/>
      <c r="AR60" s="461"/>
      <c r="AS60" s="461"/>
      <c r="AT60" s="461"/>
      <c r="AU60" s="461"/>
      <c r="AV60" s="461"/>
      <c r="AW60" s="461"/>
      <c r="AX60" s="461"/>
      <c r="AY60" s="461"/>
      <c r="AZ60" s="461"/>
      <c r="BA60" s="461"/>
      <c r="BB60" s="461"/>
      <c r="BC60" s="461"/>
      <c r="BD60" s="461"/>
      <c r="BE60" s="461"/>
      <c r="BF60" s="461"/>
      <c r="BG60" s="461"/>
      <c r="BH60" s="461"/>
      <c r="BI60" s="461"/>
      <c r="BJ60" s="461"/>
      <c r="BK60" s="461"/>
      <c r="BL60" s="461"/>
      <c r="BM60" s="461"/>
      <c r="BN60" s="461"/>
      <c r="BO60" s="461"/>
      <c r="BP60" s="461"/>
      <c r="BQ60" s="461"/>
      <c r="BR60" s="461"/>
      <c r="BS60" s="461"/>
      <c r="BT60" s="461"/>
      <c r="BU60" s="461"/>
      <c r="BV60" s="461"/>
      <c r="BW60" s="461"/>
      <c r="BX60" s="461"/>
      <c r="BY60" s="461"/>
      <c r="BZ60" s="461"/>
      <c r="CA60" s="461"/>
      <c r="CB60" s="461"/>
      <c r="CC60" s="461"/>
      <c r="CD60" s="461"/>
      <c r="CE60" s="461"/>
      <c r="CF60" s="461"/>
      <c r="CG60" s="461"/>
      <c r="CH60" s="461"/>
      <c r="CI60" s="461"/>
      <c r="CJ60" s="461"/>
      <c r="CK60" s="461"/>
      <c r="CL60" s="461"/>
      <c r="CM60" s="461"/>
      <c r="CN60" s="461"/>
      <c r="CO60" s="461"/>
      <c r="CP60" s="461"/>
      <c r="CQ60" s="461"/>
      <c r="CR60" s="461"/>
      <c r="CS60" s="461"/>
      <c r="CT60" s="461"/>
      <c r="CU60" s="461"/>
      <c r="CV60" s="461"/>
      <c r="CW60" s="461"/>
      <c r="CX60" s="461"/>
      <c r="CY60" s="461"/>
      <c r="CZ60" s="461"/>
      <c r="DA60" s="461"/>
      <c r="DB60" s="461"/>
      <c r="DC60" s="461"/>
      <c r="DD60" s="461"/>
      <c r="DE60" s="461"/>
      <c r="DF60" s="461"/>
      <c r="DG60" s="461"/>
      <c r="DH60" s="461"/>
      <c r="DI60" s="461"/>
      <c r="DJ60" s="461"/>
      <c r="DK60" s="461"/>
      <c r="DL60" s="461"/>
      <c r="DM60" s="461"/>
      <c r="DN60" s="461"/>
      <c r="DO60" s="461"/>
      <c r="DP60" s="461"/>
      <c r="DQ60" s="461"/>
      <c r="DR60" s="461"/>
      <c r="DS60" s="461"/>
      <c r="DT60" s="461"/>
      <c r="DU60" s="461"/>
      <c r="DV60" s="461"/>
      <c r="DW60" s="461"/>
      <c r="DX60" s="461"/>
      <c r="DY60" s="461"/>
      <c r="DZ60" s="461"/>
      <c r="EA60" s="461"/>
      <c r="EB60" s="461"/>
      <c r="EC60" s="461"/>
      <c r="ED60" s="461"/>
      <c r="EE60" s="461"/>
      <c r="EF60" s="461">
        <v>133.755800160739</v>
      </c>
      <c r="EG60" s="461"/>
      <c r="EH60" s="461"/>
      <c r="EI60" s="461"/>
      <c r="EJ60" s="461"/>
      <c r="EK60" s="461"/>
      <c r="EL60" s="461"/>
      <c r="EM60" s="461"/>
      <c r="EN60" s="461"/>
      <c r="EO60" s="461"/>
      <c r="EP60" s="461"/>
      <c r="EQ60" s="461"/>
      <c r="ER60" s="461"/>
      <c r="ES60" s="461"/>
      <c r="ET60" s="461"/>
      <c r="EU60" s="461"/>
      <c r="EV60" s="461"/>
      <c r="EW60" s="461"/>
      <c r="EX60" s="461"/>
      <c r="EY60" s="461"/>
      <c r="EZ60" s="461"/>
      <c r="FA60" s="461"/>
      <c r="FB60" s="461"/>
      <c r="FC60" s="461"/>
      <c r="FD60" s="461"/>
      <c r="FE60" s="461"/>
      <c r="FF60" s="461"/>
      <c r="FG60" s="461"/>
      <c r="FH60" s="461"/>
      <c r="FI60" s="461"/>
      <c r="FJ60" s="461"/>
      <c r="FK60" s="461"/>
      <c r="FL60" s="461"/>
      <c r="FM60" s="461"/>
      <c r="FN60" s="461"/>
      <c r="FO60" s="461"/>
      <c r="FP60" s="461"/>
      <c r="FQ60" s="461"/>
      <c r="FR60" s="461"/>
      <c r="FS60" s="461"/>
      <c r="FT60" s="461"/>
      <c r="FU60" s="461"/>
      <c r="FV60" s="461"/>
      <c r="FW60" s="461"/>
      <c r="FX60" s="461"/>
      <c r="FY60" s="461"/>
      <c r="FZ60" s="461"/>
      <c r="GA60" s="461"/>
      <c r="GB60" s="461"/>
      <c r="GC60" s="461"/>
      <c r="GD60" s="469"/>
      <c r="GE60" s="469"/>
      <c r="GF60" s="469"/>
      <c r="GG60" s="469"/>
      <c r="GH60" s="469"/>
      <c r="GI60" s="469"/>
      <c r="GJ60" s="469"/>
      <c r="GK60" s="469"/>
      <c r="GL60" s="469">
        <v>133.755800160739</v>
      </c>
      <c r="GM60" s="458"/>
      <c r="GN60" s="469"/>
      <c r="GO60" s="469"/>
      <c r="GP60" s="468"/>
    </row>
    <row r="61" spans="1:198" x14ac:dyDescent="0.25">
      <c r="A61" s="465" t="s">
        <v>2286</v>
      </c>
      <c r="B61" s="461"/>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c r="AB61" s="461"/>
      <c r="AC61" s="461"/>
      <c r="AD61" s="461"/>
      <c r="AE61" s="461"/>
      <c r="AF61" s="461"/>
      <c r="AG61" s="461"/>
      <c r="AH61" s="461"/>
      <c r="AI61" s="461"/>
      <c r="AJ61" s="461"/>
      <c r="AK61" s="461"/>
      <c r="AL61" s="461"/>
      <c r="AM61" s="461"/>
      <c r="AN61" s="461"/>
      <c r="AO61" s="461"/>
      <c r="AP61" s="461"/>
      <c r="AQ61" s="461"/>
      <c r="AR61" s="461"/>
      <c r="AS61" s="461"/>
      <c r="AT61" s="461"/>
      <c r="AU61" s="461"/>
      <c r="AV61" s="461"/>
      <c r="AW61" s="461"/>
      <c r="AX61" s="461"/>
      <c r="AY61" s="461"/>
      <c r="AZ61" s="461"/>
      <c r="BA61" s="461"/>
      <c r="BB61" s="461"/>
      <c r="BC61" s="461"/>
      <c r="BD61" s="461"/>
      <c r="BE61" s="461"/>
      <c r="BF61" s="461"/>
      <c r="BG61" s="461"/>
      <c r="BH61" s="461"/>
      <c r="BI61" s="461"/>
      <c r="BJ61" s="461"/>
      <c r="BK61" s="461"/>
      <c r="BL61" s="461"/>
      <c r="BM61" s="461"/>
      <c r="BN61" s="461"/>
      <c r="BO61" s="461"/>
      <c r="BP61" s="461"/>
      <c r="BQ61" s="461"/>
      <c r="BR61" s="461"/>
      <c r="BS61" s="461"/>
      <c r="BT61" s="461"/>
      <c r="BU61" s="461"/>
      <c r="BV61" s="461"/>
      <c r="BW61" s="461"/>
      <c r="BX61" s="461"/>
      <c r="BY61" s="461"/>
      <c r="BZ61" s="461"/>
      <c r="CA61" s="461"/>
      <c r="CB61" s="461"/>
      <c r="CC61" s="461"/>
      <c r="CD61" s="461"/>
      <c r="CE61" s="461"/>
      <c r="CF61" s="461"/>
      <c r="CG61" s="461"/>
      <c r="CH61" s="461"/>
      <c r="CI61" s="461"/>
      <c r="CJ61" s="461"/>
      <c r="CK61" s="461"/>
      <c r="CL61" s="461"/>
      <c r="CM61" s="461"/>
      <c r="CN61" s="461"/>
      <c r="CO61" s="461"/>
      <c r="CP61" s="461"/>
      <c r="CQ61" s="461"/>
      <c r="CR61" s="461"/>
      <c r="CS61" s="461"/>
      <c r="CT61" s="461"/>
      <c r="CU61" s="461"/>
      <c r="CV61" s="461"/>
      <c r="CW61" s="461"/>
      <c r="CX61" s="461"/>
      <c r="CY61" s="461"/>
      <c r="CZ61" s="461"/>
      <c r="DA61" s="461"/>
      <c r="DB61" s="461"/>
      <c r="DC61" s="461"/>
      <c r="DD61" s="461"/>
      <c r="DE61" s="461"/>
      <c r="DF61" s="461"/>
      <c r="DG61" s="461"/>
      <c r="DH61" s="461"/>
      <c r="DI61" s="461"/>
      <c r="DJ61" s="461"/>
      <c r="DK61" s="461"/>
      <c r="DL61" s="461"/>
      <c r="DM61" s="461"/>
      <c r="DN61" s="461"/>
      <c r="DO61" s="461"/>
      <c r="DP61" s="461"/>
      <c r="DQ61" s="461"/>
      <c r="DR61" s="461"/>
      <c r="DS61" s="461"/>
      <c r="DT61" s="461"/>
      <c r="DU61" s="461"/>
      <c r="DV61" s="461"/>
      <c r="DW61" s="461"/>
      <c r="DX61" s="461"/>
      <c r="DY61" s="461"/>
      <c r="DZ61" s="461"/>
      <c r="EA61" s="461"/>
      <c r="EB61" s="461"/>
      <c r="EC61" s="461"/>
      <c r="ED61" s="461"/>
      <c r="EE61" s="461"/>
      <c r="EF61" s="461"/>
      <c r="EG61" s="461">
        <v>1</v>
      </c>
      <c r="EH61" s="461"/>
      <c r="EI61" s="461"/>
      <c r="EJ61" s="461"/>
      <c r="EK61" s="461"/>
      <c r="EL61" s="461"/>
      <c r="EM61" s="461"/>
      <c r="EN61" s="461"/>
      <c r="EO61" s="461"/>
      <c r="EP61" s="461"/>
      <c r="EQ61" s="461"/>
      <c r="ER61" s="461"/>
      <c r="ES61" s="461"/>
      <c r="ET61" s="461"/>
      <c r="EU61" s="461"/>
      <c r="EV61" s="461"/>
      <c r="EW61" s="461"/>
      <c r="EX61" s="461"/>
      <c r="EY61" s="461"/>
      <c r="EZ61" s="461"/>
      <c r="FA61" s="461"/>
      <c r="FB61" s="461"/>
      <c r="FC61" s="461"/>
      <c r="FD61" s="461"/>
      <c r="FE61" s="461"/>
      <c r="FF61" s="461"/>
      <c r="FG61" s="461"/>
      <c r="FH61" s="461"/>
      <c r="FI61" s="461"/>
      <c r="FJ61" s="461"/>
      <c r="FK61" s="461"/>
      <c r="FL61" s="461"/>
      <c r="FM61" s="461"/>
      <c r="FN61" s="461"/>
      <c r="FO61" s="461"/>
      <c r="FP61" s="461"/>
      <c r="FQ61" s="461"/>
      <c r="FR61" s="461"/>
      <c r="FS61" s="461"/>
      <c r="FT61" s="461"/>
      <c r="FU61" s="461"/>
      <c r="FV61" s="461"/>
      <c r="FW61" s="461"/>
      <c r="FX61" s="461"/>
      <c r="FY61" s="461"/>
      <c r="FZ61" s="461"/>
      <c r="GA61" s="461"/>
      <c r="GB61" s="461"/>
      <c r="GC61" s="461"/>
      <c r="GD61" s="469"/>
      <c r="GE61" s="469"/>
      <c r="GF61" s="469"/>
      <c r="GG61" s="469"/>
      <c r="GH61" s="469"/>
      <c r="GI61" s="469"/>
      <c r="GJ61" s="469"/>
      <c r="GK61" s="469"/>
      <c r="GL61" s="469">
        <v>1</v>
      </c>
      <c r="GM61" s="458"/>
      <c r="GN61" s="469"/>
      <c r="GO61" s="469"/>
      <c r="GP61" s="468"/>
    </row>
    <row r="62" spans="1:198" x14ac:dyDescent="0.25">
      <c r="A62" s="465" t="s">
        <v>2287</v>
      </c>
      <c r="B62" s="461"/>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c r="AB62" s="461"/>
      <c r="AC62" s="461"/>
      <c r="AD62" s="461"/>
      <c r="AE62" s="461"/>
      <c r="AF62" s="461"/>
      <c r="AG62" s="461"/>
      <c r="AH62" s="461"/>
      <c r="AI62" s="461"/>
      <c r="AJ62" s="461"/>
      <c r="AK62" s="461"/>
      <c r="AL62" s="461"/>
      <c r="AM62" s="461"/>
      <c r="AN62" s="461"/>
      <c r="AO62" s="461"/>
      <c r="AP62" s="461"/>
      <c r="AQ62" s="461"/>
      <c r="AR62" s="461"/>
      <c r="AS62" s="461"/>
      <c r="AT62" s="461"/>
      <c r="AU62" s="461"/>
      <c r="AV62" s="461"/>
      <c r="AW62" s="461"/>
      <c r="AX62" s="461"/>
      <c r="AY62" s="461"/>
      <c r="AZ62" s="461"/>
      <c r="BA62" s="461"/>
      <c r="BB62" s="461"/>
      <c r="BC62" s="461"/>
      <c r="BD62" s="461"/>
      <c r="BE62" s="461"/>
      <c r="BF62" s="461"/>
      <c r="BG62" s="461"/>
      <c r="BH62" s="461"/>
      <c r="BI62" s="461"/>
      <c r="BJ62" s="461"/>
      <c r="BK62" s="461"/>
      <c r="BL62" s="461"/>
      <c r="BM62" s="461"/>
      <c r="BN62" s="461"/>
      <c r="BO62" s="461"/>
      <c r="BP62" s="461"/>
      <c r="BQ62" s="461"/>
      <c r="BR62" s="461"/>
      <c r="BS62" s="461"/>
      <c r="BT62" s="461"/>
      <c r="BU62" s="461"/>
      <c r="BV62" s="461"/>
      <c r="BW62" s="461"/>
      <c r="BX62" s="461"/>
      <c r="BY62" s="461"/>
      <c r="BZ62" s="461"/>
      <c r="CA62" s="461"/>
      <c r="CB62" s="461"/>
      <c r="CC62" s="461"/>
      <c r="CD62" s="461"/>
      <c r="CE62" s="461"/>
      <c r="CF62" s="461"/>
      <c r="CG62" s="461"/>
      <c r="CH62" s="461"/>
      <c r="CI62" s="461"/>
      <c r="CJ62" s="461"/>
      <c r="CK62" s="461"/>
      <c r="CL62" s="461"/>
      <c r="CM62" s="461"/>
      <c r="CN62" s="461"/>
      <c r="CO62" s="461"/>
      <c r="CP62" s="461"/>
      <c r="CQ62" s="461"/>
      <c r="CR62" s="461"/>
      <c r="CS62" s="461"/>
      <c r="CT62" s="461"/>
      <c r="CU62" s="461"/>
      <c r="CV62" s="461"/>
      <c r="CW62" s="461"/>
      <c r="CX62" s="461"/>
      <c r="CY62" s="461"/>
      <c r="CZ62" s="461"/>
      <c r="DA62" s="461"/>
      <c r="DB62" s="461"/>
      <c r="DC62" s="461"/>
      <c r="DD62" s="461"/>
      <c r="DE62" s="461"/>
      <c r="DF62" s="461"/>
      <c r="DG62" s="461"/>
      <c r="DH62" s="461"/>
      <c r="DI62" s="461"/>
      <c r="DJ62" s="461"/>
      <c r="DK62" s="461"/>
      <c r="DL62" s="461"/>
      <c r="DM62" s="461"/>
      <c r="DN62" s="461"/>
      <c r="DO62" s="461"/>
      <c r="DP62" s="461"/>
      <c r="DQ62" s="461"/>
      <c r="DR62" s="461"/>
      <c r="DS62" s="461"/>
      <c r="DT62" s="461"/>
      <c r="DU62" s="461"/>
      <c r="DV62" s="461"/>
      <c r="DW62" s="461"/>
      <c r="DX62" s="461"/>
      <c r="DY62" s="461"/>
      <c r="DZ62" s="461"/>
      <c r="EA62" s="461"/>
      <c r="EB62" s="461"/>
      <c r="EC62" s="461"/>
      <c r="ED62" s="461"/>
      <c r="EE62" s="461"/>
      <c r="EF62" s="461"/>
      <c r="EG62" s="461"/>
      <c r="EH62" s="461">
        <v>0.25314932364136078</v>
      </c>
      <c r="EI62" s="461"/>
      <c r="EJ62" s="461"/>
      <c r="EK62" s="461"/>
      <c r="EL62" s="461"/>
      <c r="EM62" s="461"/>
      <c r="EN62" s="461"/>
      <c r="EO62" s="461"/>
      <c r="EP62" s="461"/>
      <c r="EQ62" s="461"/>
      <c r="ER62" s="461"/>
      <c r="ES62" s="461"/>
      <c r="ET62" s="461"/>
      <c r="EU62" s="461"/>
      <c r="EV62" s="461"/>
      <c r="EW62" s="461"/>
      <c r="EX62" s="461"/>
      <c r="EY62" s="461"/>
      <c r="EZ62" s="461"/>
      <c r="FA62" s="461"/>
      <c r="FB62" s="461"/>
      <c r="FC62" s="461"/>
      <c r="FD62" s="461"/>
      <c r="FE62" s="461"/>
      <c r="FF62" s="461"/>
      <c r="FG62" s="461"/>
      <c r="FH62" s="461"/>
      <c r="FI62" s="461"/>
      <c r="FJ62" s="461"/>
      <c r="FK62" s="461"/>
      <c r="FL62" s="461"/>
      <c r="FM62" s="461"/>
      <c r="FN62" s="461"/>
      <c r="FO62" s="461"/>
      <c r="FP62" s="461"/>
      <c r="FQ62" s="461"/>
      <c r="FR62" s="461"/>
      <c r="FS62" s="461"/>
      <c r="FT62" s="461"/>
      <c r="FU62" s="461"/>
      <c r="FV62" s="461"/>
      <c r="FW62" s="461"/>
      <c r="FX62" s="461"/>
      <c r="FY62" s="461"/>
      <c r="FZ62" s="461"/>
      <c r="GA62" s="461"/>
      <c r="GB62" s="461"/>
      <c r="GC62" s="461"/>
      <c r="GD62" s="469"/>
      <c r="GE62" s="469"/>
      <c r="GF62" s="469"/>
      <c r="GG62" s="469"/>
      <c r="GH62" s="469"/>
      <c r="GI62" s="469"/>
      <c r="GJ62" s="469"/>
      <c r="GK62" s="469"/>
      <c r="GL62" s="469">
        <v>0.25314932364136078</v>
      </c>
      <c r="GM62" s="458"/>
      <c r="GN62" s="469"/>
      <c r="GO62" s="469"/>
      <c r="GP62" s="468"/>
    </row>
    <row r="63" spans="1:198" x14ac:dyDescent="0.25">
      <c r="A63" s="465" t="s">
        <v>1623</v>
      </c>
      <c r="B63" s="461"/>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c r="AB63" s="461"/>
      <c r="AC63" s="461"/>
      <c r="AD63" s="461"/>
      <c r="AE63" s="461"/>
      <c r="AF63" s="461"/>
      <c r="AG63" s="461"/>
      <c r="AH63" s="461"/>
      <c r="AI63" s="461"/>
      <c r="AJ63" s="461"/>
      <c r="AK63" s="461"/>
      <c r="AL63" s="461"/>
      <c r="AM63" s="461"/>
      <c r="AN63" s="461"/>
      <c r="AO63" s="461"/>
      <c r="AP63" s="461"/>
      <c r="AQ63" s="461"/>
      <c r="AR63" s="461"/>
      <c r="AS63" s="461"/>
      <c r="AT63" s="461"/>
      <c r="AU63" s="461"/>
      <c r="AV63" s="461"/>
      <c r="AW63" s="461"/>
      <c r="AX63" s="461"/>
      <c r="AY63" s="461"/>
      <c r="AZ63" s="461"/>
      <c r="BA63" s="461"/>
      <c r="BB63" s="461"/>
      <c r="BC63" s="461"/>
      <c r="BD63" s="461"/>
      <c r="BE63" s="461"/>
      <c r="BF63" s="461"/>
      <c r="BG63" s="461"/>
      <c r="BH63" s="461"/>
      <c r="BI63" s="461"/>
      <c r="BJ63" s="461"/>
      <c r="BK63" s="461"/>
      <c r="BL63" s="461"/>
      <c r="BM63" s="461"/>
      <c r="BN63" s="461"/>
      <c r="BO63" s="461"/>
      <c r="BP63" s="461"/>
      <c r="BQ63" s="461"/>
      <c r="BR63" s="461"/>
      <c r="BS63" s="461"/>
      <c r="BT63" s="461"/>
      <c r="BU63" s="461"/>
      <c r="BV63" s="461"/>
      <c r="BW63" s="461"/>
      <c r="BX63" s="461"/>
      <c r="BY63" s="461"/>
      <c r="BZ63" s="461"/>
      <c r="CA63" s="461"/>
      <c r="CB63" s="461"/>
      <c r="CC63" s="461"/>
      <c r="CD63" s="461"/>
      <c r="CE63" s="461"/>
      <c r="CF63" s="461"/>
      <c r="CG63" s="461"/>
      <c r="CH63" s="461"/>
      <c r="CI63" s="461"/>
      <c r="CJ63" s="461"/>
      <c r="CK63" s="461"/>
      <c r="CL63" s="461"/>
      <c r="CM63" s="461"/>
      <c r="CN63" s="461"/>
      <c r="CO63" s="461"/>
      <c r="CP63" s="461"/>
      <c r="CQ63" s="461"/>
      <c r="CR63" s="461"/>
      <c r="CS63" s="461"/>
      <c r="CT63" s="461"/>
      <c r="CU63" s="461"/>
      <c r="CV63" s="461"/>
      <c r="CW63" s="461"/>
      <c r="CX63" s="461"/>
      <c r="CY63" s="461"/>
      <c r="CZ63" s="461"/>
      <c r="DA63" s="461"/>
      <c r="DB63" s="461"/>
      <c r="DC63" s="461"/>
      <c r="DD63" s="461"/>
      <c r="DE63" s="461"/>
      <c r="DF63" s="461"/>
      <c r="DG63" s="461"/>
      <c r="DH63" s="461"/>
      <c r="DI63" s="461"/>
      <c r="DJ63" s="461"/>
      <c r="DK63" s="461"/>
      <c r="DL63" s="461"/>
      <c r="DM63" s="461"/>
      <c r="DN63" s="461"/>
      <c r="DO63" s="461"/>
      <c r="DP63" s="461"/>
      <c r="DQ63" s="461"/>
      <c r="DR63" s="461"/>
      <c r="DS63" s="461"/>
      <c r="DT63" s="461"/>
      <c r="DU63" s="461"/>
      <c r="DV63" s="461"/>
      <c r="DW63" s="461"/>
      <c r="DX63" s="461"/>
      <c r="DY63" s="461"/>
      <c r="DZ63" s="461"/>
      <c r="EA63" s="461"/>
      <c r="EB63" s="461"/>
      <c r="EC63" s="461"/>
      <c r="ED63" s="461"/>
      <c r="EE63" s="461"/>
      <c r="EF63" s="461"/>
      <c r="EG63" s="461"/>
      <c r="EH63" s="461"/>
      <c r="EI63" s="461">
        <v>68.401817435156545</v>
      </c>
      <c r="EJ63" s="461"/>
      <c r="EK63" s="461"/>
      <c r="EL63" s="461"/>
      <c r="EM63" s="461"/>
      <c r="EN63" s="461"/>
      <c r="EO63" s="461"/>
      <c r="EP63" s="461"/>
      <c r="EQ63" s="461"/>
      <c r="ER63" s="461"/>
      <c r="ES63" s="461"/>
      <c r="ET63" s="461"/>
      <c r="EU63" s="461"/>
      <c r="EV63" s="461"/>
      <c r="EW63" s="461"/>
      <c r="EX63" s="461"/>
      <c r="EY63" s="461"/>
      <c r="EZ63" s="461"/>
      <c r="FA63" s="461"/>
      <c r="FB63" s="461"/>
      <c r="FC63" s="461"/>
      <c r="FD63" s="461"/>
      <c r="FE63" s="461"/>
      <c r="FF63" s="461"/>
      <c r="FG63" s="461"/>
      <c r="FH63" s="461"/>
      <c r="FI63" s="461"/>
      <c r="FJ63" s="461"/>
      <c r="FK63" s="461"/>
      <c r="FL63" s="461"/>
      <c r="FM63" s="461"/>
      <c r="FN63" s="461"/>
      <c r="FO63" s="461"/>
      <c r="FP63" s="461"/>
      <c r="FQ63" s="461"/>
      <c r="FR63" s="461"/>
      <c r="FS63" s="461"/>
      <c r="FT63" s="461"/>
      <c r="FU63" s="461"/>
      <c r="FV63" s="461"/>
      <c r="FW63" s="461"/>
      <c r="FX63" s="461"/>
      <c r="FY63" s="461"/>
      <c r="FZ63" s="461"/>
      <c r="GA63" s="461"/>
      <c r="GB63" s="461"/>
      <c r="GC63" s="461"/>
      <c r="GD63" s="469"/>
      <c r="GE63" s="469"/>
      <c r="GF63" s="469"/>
      <c r="GG63" s="469"/>
      <c r="GH63" s="469"/>
      <c r="GI63" s="469"/>
      <c r="GJ63" s="469"/>
      <c r="GK63" s="469"/>
      <c r="GL63" s="469">
        <v>68.401817435156545</v>
      </c>
      <c r="GM63" s="458"/>
      <c r="GN63" s="469"/>
      <c r="GO63" s="469"/>
      <c r="GP63" s="468"/>
    </row>
    <row r="64" spans="1:198" x14ac:dyDescent="0.25">
      <c r="A64" s="465" t="s">
        <v>1622</v>
      </c>
      <c r="B64" s="461"/>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c r="AB64" s="461"/>
      <c r="AC64" s="461"/>
      <c r="AD64" s="461"/>
      <c r="AE64" s="461"/>
      <c r="AF64" s="461"/>
      <c r="AG64" s="461"/>
      <c r="AH64" s="461"/>
      <c r="AI64" s="461"/>
      <c r="AJ64" s="461"/>
      <c r="AK64" s="461"/>
      <c r="AL64" s="461"/>
      <c r="AM64" s="461"/>
      <c r="AN64" s="461"/>
      <c r="AO64" s="461"/>
      <c r="AP64" s="461"/>
      <c r="AQ64" s="461"/>
      <c r="AR64" s="461"/>
      <c r="AS64" s="461"/>
      <c r="AT64" s="461"/>
      <c r="AU64" s="461"/>
      <c r="AV64" s="461"/>
      <c r="AW64" s="461"/>
      <c r="AX64" s="461"/>
      <c r="AY64" s="461"/>
      <c r="AZ64" s="461"/>
      <c r="BA64" s="461"/>
      <c r="BB64" s="461"/>
      <c r="BC64" s="461"/>
      <c r="BD64" s="461"/>
      <c r="BE64" s="461"/>
      <c r="BF64" s="461"/>
      <c r="BG64" s="461"/>
      <c r="BH64" s="461"/>
      <c r="BI64" s="461"/>
      <c r="BJ64" s="461"/>
      <c r="BK64" s="461"/>
      <c r="BL64" s="461"/>
      <c r="BM64" s="461"/>
      <c r="BN64" s="461"/>
      <c r="BO64" s="461"/>
      <c r="BP64" s="461"/>
      <c r="BQ64" s="461"/>
      <c r="BR64" s="461"/>
      <c r="BS64" s="461"/>
      <c r="BT64" s="461"/>
      <c r="BU64" s="461"/>
      <c r="BV64" s="461"/>
      <c r="BW64" s="461"/>
      <c r="BX64" s="461"/>
      <c r="BY64" s="461"/>
      <c r="BZ64" s="461"/>
      <c r="CA64" s="461"/>
      <c r="CB64" s="461"/>
      <c r="CC64" s="461"/>
      <c r="CD64" s="461"/>
      <c r="CE64" s="461"/>
      <c r="CF64" s="461"/>
      <c r="CG64" s="461"/>
      <c r="CH64" s="461"/>
      <c r="CI64" s="461"/>
      <c r="CJ64" s="461"/>
      <c r="CK64" s="461"/>
      <c r="CL64" s="461"/>
      <c r="CM64" s="461"/>
      <c r="CN64" s="461"/>
      <c r="CO64" s="461"/>
      <c r="CP64" s="461"/>
      <c r="CQ64" s="461"/>
      <c r="CR64" s="461"/>
      <c r="CS64" s="461"/>
      <c r="CT64" s="461"/>
      <c r="CU64" s="461"/>
      <c r="CV64" s="461"/>
      <c r="CW64" s="461"/>
      <c r="CX64" s="461"/>
      <c r="CY64" s="461"/>
      <c r="CZ64" s="461"/>
      <c r="DA64" s="461"/>
      <c r="DB64" s="461"/>
      <c r="DC64" s="461"/>
      <c r="DD64" s="461"/>
      <c r="DE64" s="461"/>
      <c r="DF64" s="461"/>
      <c r="DG64" s="461"/>
      <c r="DH64" s="461"/>
      <c r="DI64" s="461"/>
      <c r="DJ64" s="461"/>
      <c r="DK64" s="461"/>
      <c r="DL64" s="461"/>
      <c r="DM64" s="461"/>
      <c r="DN64" s="461"/>
      <c r="DO64" s="461"/>
      <c r="DP64" s="461"/>
      <c r="DQ64" s="461"/>
      <c r="DR64" s="461"/>
      <c r="DS64" s="461"/>
      <c r="DT64" s="461"/>
      <c r="DU64" s="461"/>
      <c r="DV64" s="461"/>
      <c r="DW64" s="461"/>
      <c r="DX64" s="461"/>
      <c r="DY64" s="461"/>
      <c r="DZ64" s="461"/>
      <c r="EA64" s="461"/>
      <c r="EB64" s="461"/>
      <c r="EC64" s="461"/>
      <c r="ED64" s="461"/>
      <c r="EE64" s="461"/>
      <c r="EF64" s="461"/>
      <c r="EG64" s="461"/>
      <c r="EH64" s="461"/>
      <c r="EI64" s="461"/>
      <c r="EJ64" s="461">
        <v>53.558154182636585</v>
      </c>
      <c r="EK64" s="461"/>
      <c r="EL64" s="461"/>
      <c r="EM64" s="461"/>
      <c r="EN64" s="461"/>
      <c r="EO64" s="461"/>
      <c r="EP64" s="461"/>
      <c r="EQ64" s="461"/>
      <c r="ER64" s="461"/>
      <c r="ES64" s="461"/>
      <c r="ET64" s="461"/>
      <c r="EU64" s="461"/>
      <c r="EV64" s="461"/>
      <c r="EW64" s="461"/>
      <c r="EX64" s="461"/>
      <c r="EY64" s="461"/>
      <c r="EZ64" s="461"/>
      <c r="FA64" s="461"/>
      <c r="FB64" s="461"/>
      <c r="FC64" s="461"/>
      <c r="FD64" s="461"/>
      <c r="FE64" s="461"/>
      <c r="FF64" s="461"/>
      <c r="FG64" s="461"/>
      <c r="FH64" s="461"/>
      <c r="FI64" s="461"/>
      <c r="FJ64" s="461"/>
      <c r="FK64" s="461"/>
      <c r="FL64" s="461"/>
      <c r="FM64" s="461"/>
      <c r="FN64" s="461"/>
      <c r="FO64" s="461"/>
      <c r="FP64" s="461"/>
      <c r="FQ64" s="461"/>
      <c r="FR64" s="461"/>
      <c r="FS64" s="461"/>
      <c r="FT64" s="461"/>
      <c r="FU64" s="461"/>
      <c r="FV64" s="461"/>
      <c r="FW64" s="461"/>
      <c r="FX64" s="461"/>
      <c r="FY64" s="461"/>
      <c r="FZ64" s="461"/>
      <c r="GA64" s="461"/>
      <c r="GB64" s="461"/>
      <c r="GC64" s="461"/>
      <c r="GD64" s="469"/>
      <c r="GE64" s="469"/>
      <c r="GF64" s="469"/>
      <c r="GG64" s="469"/>
      <c r="GH64" s="469"/>
      <c r="GI64" s="469"/>
      <c r="GJ64" s="469"/>
      <c r="GK64" s="469"/>
      <c r="GL64" s="469">
        <v>53.558154182636585</v>
      </c>
      <c r="GM64" s="458"/>
      <c r="GN64" s="469"/>
      <c r="GO64" s="469"/>
      <c r="GP64" s="468"/>
    </row>
    <row r="65" spans="1:198" x14ac:dyDescent="0.25">
      <c r="A65" s="465" t="s">
        <v>1621</v>
      </c>
      <c r="B65" s="461"/>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c r="AB65" s="461"/>
      <c r="AC65" s="461"/>
      <c r="AD65" s="461"/>
      <c r="AE65" s="461"/>
      <c r="AF65" s="461"/>
      <c r="AG65" s="461"/>
      <c r="AH65" s="461"/>
      <c r="AI65" s="461"/>
      <c r="AJ65" s="461"/>
      <c r="AK65" s="461"/>
      <c r="AL65" s="461"/>
      <c r="AM65" s="461"/>
      <c r="AN65" s="461"/>
      <c r="AO65" s="461"/>
      <c r="AP65" s="461"/>
      <c r="AQ65" s="461"/>
      <c r="AR65" s="461"/>
      <c r="AS65" s="461"/>
      <c r="AT65" s="461"/>
      <c r="AU65" s="461"/>
      <c r="AV65" s="461"/>
      <c r="AW65" s="461"/>
      <c r="AX65" s="461"/>
      <c r="AY65" s="461"/>
      <c r="AZ65" s="461"/>
      <c r="BA65" s="461"/>
      <c r="BB65" s="461"/>
      <c r="BC65" s="461"/>
      <c r="BD65" s="461"/>
      <c r="BE65" s="461"/>
      <c r="BF65" s="461"/>
      <c r="BG65" s="461"/>
      <c r="BH65" s="461"/>
      <c r="BI65" s="461"/>
      <c r="BJ65" s="461"/>
      <c r="BK65" s="461"/>
      <c r="BL65" s="461"/>
      <c r="BM65" s="461"/>
      <c r="BN65" s="461"/>
      <c r="BO65" s="461"/>
      <c r="BP65" s="461"/>
      <c r="BQ65" s="461"/>
      <c r="BR65" s="461"/>
      <c r="BS65" s="461"/>
      <c r="BT65" s="461"/>
      <c r="BU65" s="461"/>
      <c r="BV65" s="461"/>
      <c r="BW65" s="461"/>
      <c r="BX65" s="461"/>
      <c r="BY65" s="461"/>
      <c r="BZ65" s="461"/>
      <c r="CA65" s="461"/>
      <c r="CB65" s="461"/>
      <c r="CC65" s="461"/>
      <c r="CD65" s="461"/>
      <c r="CE65" s="461"/>
      <c r="CF65" s="461"/>
      <c r="CG65" s="461"/>
      <c r="CH65" s="461"/>
      <c r="CI65" s="461"/>
      <c r="CJ65" s="461"/>
      <c r="CK65" s="461"/>
      <c r="CL65" s="461"/>
      <c r="CM65" s="461"/>
      <c r="CN65" s="461"/>
      <c r="CO65" s="461"/>
      <c r="CP65" s="461"/>
      <c r="CQ65" s="461"/>
      <c r="CR65" s="461"/>
      <c r="CS65" s="461"/>
      <c r="CT65" s="461"/>
      <c r="CU65" s="461"/>
      <c r="CV65" s="461"/>
      <c r="CW65" s="461"/>
      <c r="CX65" s="461"/>
      <c r="CY65" s="461"/>
      <c r="CZ65" s="461"/>
      <c r="DA65" s="461"/>
      <c r="DB65" s="461"/>
      <c r="DC65" s="461"/>
      <c r="DD65" s="461"/>
      <c r="DE65" s="461"/>
      <c r="DF65" s="461"/>
      <c r="DG65" s="461"/>
      <c r="DH65" s="461"/>
      <c r="DI65" s="461"/>
      <c r="DJ65" s="461"/>
      <c r="DK65" s="461"/>
      <c r="DL65" s="461"/>
      <c r="DM65" s="461"/>
      <c r="DN65" s="461"/>
      <c r="DO65" s="461"/>
      <c r="DP65" s="461"/>
      <c r="DQ65" s="461"/>
      <c r="DR65" s="461"/>
      <c r="DS65" s="461"/>
      <c r="DT65" s="461"/>
      <c r="DU65" s="461"/>
      <c r="DV65" s="461"/>
      <c r="DW65" s="461"/>
      <c r="DX65" s="461"/>
      <c r="DY65" s="461"/>
      <c r="DZ65" s="461"/>
      <c r="EA65" s="461"/>
      <c r="EB65" s="461"/>
      <c r="EC65" s="461"/>
      <c r="ED65" s="461"/>
      <c r="EE65" s="461"/>
      <c r="EF65" s="461"/>
      <c r="EG65" s="461"/>
      <c r="EH65" s="461"/>
      <c r="EI65" s="461"/>
      <c r="EJ65" s="461"/>
      <c r="EK65" s="461">
        <v>236.35282791845404</v>
      </c>
      <c r="EL65" s="461"/>
      <c r="EM65" s="461"/>
      <c r="EN65" s="461"/>
      <c r="EO65" s="461"/>
      <c r="EP65" s="461"/>
      <c r="EQ65" s="461"/>
      <c r="ER65" s="461"/>
      <c r="ES65" s="461"/>
      <c r="ET65" s="461"/>
      <c r="EU65" s="461"/>
      <c r="EV65" s="461"/>
      <c r="EW65" s="461"/>
      <c r="EX65" s="461"/>
      <c r="EY65" s="461"/>
      <c r="EZ65" s="461"/>
      <c r="FA65" s="461"/>
      <c r="FB65" s="461"/>
      <c r="FC65" s="461"/>
      <c r="FD65" s="461"/>
      <c r="FE65" s="461"/>
      <c r="FF65" s="461"/>
      <c r="FG65" s="461"/>
      <c r="FH65" s="461"/>
      <c r="FI65" s="461"/>
      <c r="FJ65" s="461"/>
      <c r="FK65" s="461"/>
      <c r="FL65" s="461"/>
      <c r="FM65" s="461"/>
      <c r="FN65" s="461"/>
      <c r="FO65" s="461"/>
      <c r="FP65" s="461"/>
      <c r="FQ65" s="461"/>
      <c r="FR65" s="461"/>
      <c r="FS65" s="461"/>
      <c r="FT65" s="461"/>
      <c r="FU65" s="461"/>
      <c r="FV65" s="461"/>
      <c r="FW65" s="461"/>
      <c r="FX65" s="461"/>
      <c r="FY65" s="461"/>
      <c r="FZ65" s="461"/>
      <c r="GA65" s="461"/>
      <c r="GB65" s="461"/>
      <c r="GC65" s="461"/>
      <c r="GD65" s="469"/>
      <c r="GE65" s="469"/>
      <c r="GF65" s="469"/>
      <c r="GG65" s="469"/>
      <c r="GH65" s="469"/>
      <c r="GI65" s="469"/>
      <c r="GJ65" s="469"/>
      <c r="GK65" s="469"/>
      <c r="GL65" s="469">
        <v>236.35282791845404</v>
      </c>
      <c r="GM65" s="458"/>
      <c r="GN65" s="469"/>
      <c r="GO65" s="469"/>
      <c r="GP65" s="468"/>
    </row>
    <row r="66" spans="1:198" x14ac:dyDescent="0.25">
      <c r="A66" s="465" t="s">
        <v>1620</v>
      </c>
      <c r="B66" s="461"/>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c r="AB66" s="461"/>
      <c r="AC66" s="461"/>
      <c r="AD66" s="461"/>
      <c r="AE66" s="461"/>
      <c r="AF66" s="461"/>
      <c r="AG66" s="461"/>
      <c r="AH66" s="461"/>
      <c r="AI66" s="461"/>
      <c r="AJ66" s="461"/>
      <c r="AK66" s="461"/>
      <c r="AL66" s="461"/>
      <c r="AM66" s="461"/>
      <c r="AN66" s="461"/>
      <c r="AO66" s="461"/>
      <c r="AP66" s="461"/>
      <c r="AQ66" s="461"/>
      <c r="AR66" s="461"/>
      <c r="AS66" s="461"/>
      <c r="AT66" s="461"/>
      <c r="AU66" s="461"/>
      <c r="AV66" s="461"/>
      <c r="AW66" s="461"/>
      <c r="AX66" s="461"/>
      <c r="AY66" s="461"/>
      <c r="AZ66" s="461"/>
      <c r="BA66" s="461"/>
      <c r="BB66" s="461"/>
      <c r="BC66" s="461"/>
      <c r="BD66" s="461"/>
      <c r="BE66" s="461"/>
      <c r="BF66" s="461"/>
      <c r="BG66" s="461"/>
      <c r="BH66" s="461"/>
      <c r="BI66" s="461"/>
      <c r="BJ66" s="461"/>
      <c r="BK66" s="461"/>
      <c r="BL66" s="461"/>
      <c r="BM66" s="461"/>
      <c r="BN66" s="461"/>
      <c r="BO66" s="461"/>
      <c r="BP66" s="461"/>
      <c r="BQ66" s="461"/>
      <c r="BR66" s="461"/>
      <c r="BS66" s="461"/>
      <c r="BT66" s="461"/>
      <c r="BU66" s="461"/>
      <c r="BV66" s="461"/>
      <c r="BW66" s="461"/>
      <c r="BX66" s="461"/>
      <c r="BY66" s="461"/>
      <c r="BZ66" s="461"/>
      <c r="CA66" s="461"/>
      <c r="CB66" s="461"/>
      <c r="CC66" s="461"/>
      <c r="CD66" s="461"/>
      <c r="CE66" s="461"/>
      <c r="CF66" s="461"/>
      <c r="CG66" s="461"/>
      <c r="CH66" s="461"/>
      <c r="CI66" s="461"/>
      <c r="CJ66" s="461"/>
      <c r="CK66" s="461"/>
      <c r="CL66" s="461"/>
      <c r="CM66" s="461"/>
      <c r="CN66" s="461"/>
      <c r="CO66" s="461"/>
      <c r="CP66" s="461"/>
      <c r="CQ66" s="461"/>
      <c r="CR66" s="461"/>
      <c r="CS66" s="461"/>
      <c r="CT66" s="461"/>
      <c r="CU66" s="461"/>
      <c r="CV66" s="461"/>
      <c r="CW66" s="461"/>
      <c r="CX66" s="461"/>
      <c r="CY66" s="461"/>
      <c r="CZ66" s="461"/>
      <c r="DA66" s="461"/>
      <c r="DB66" s="461"/>
      <c r="DC66" s="461"/>
      <c r="DD66" s="461"/>
      <c r="DE66" s="461"/>
      <c r="DF66" s="461"/>
      <c r="DG66" s="461"/>
      <c r="DH66" s="461"/>
      <c r="DI66" s="461"/>
      <c r="DJ66" s="461"/>
      <c r="DK66" s="461"/>
      <c r="DL66" s="461"/>
      <c r="DM66" s="461"/>
      <c r="DN66" s="461"/>
      <c r="DO66" s="461"/>
      <c r="DP66" s="461"/>
      <c r="DQ66" s="461"/>
      <c r="DR66" s="461"/>
      <c r="DS66" s="461"/>
      <c r="DT66" s="461"/>
      <c r="DU66" s="461"/>
      <c r="DV66" s="461"/>
      <c r="DW66" s="461"/>
      <c r="DX66" s="461"/>
      <c r="DY66" s="461"/>
      <c r="DZ66" s="461"/>
      <c r="EA66" s="461"/>
      <c r="EB66" s="461"/>
      <c r="EC66" s="461"/>
      <c r="ED66" s="461"/>
      <c r="EE66" s="461"/>
      <c r="EF66" s="461"/>
      <c r="EG66" s="461"/>
      <c r="EH66" s="461"/>
      <c r="EI66" s="461"/>
      <c r="EJ66" s="461"/>
      <c r="EK66" s="461"/>
      <c r="EL66" s="461">
        <v>25.952136624392082</v>
      </c>
      <c r="EM66" s="461"/>
      <c r="EN66" s="461"/>
      <c r="EO66" s="461"/>
      <c r="EP66" s="461"/>
      <c r="EQ66" s="461"/>
      <c r="ER66" s="461"/>
      <c r="ES66" s="461"/>
      <c r="ET66" s="461"/>
      <c r="EU66" s="461"/>
      <c r="EV66" s="461"/>
      <c r="EW66" s="461"/>
      <c r="EX66" s="461"/>
      <c r="EY66" s="461"/>
      <c r="EZ66" s="461"/>
      <c r="FA66" s="461"/>
      <c r="FB66" s="461"/>
      <c r="FC66" s="461"/>
      <c r="FD66" s="461"/>
      <c r="FE66" s="461"/>
      <c r="FF66" s="461"/>
      <c r="FG66" s="461"/>
      <c r="FH66" s="461"/>
      <c r="FI66" s="461"/>
      <c r="FJ66" s="461"/>
      <c r="FK66" s="461"/>
      <c r="FL66" s="461"/>
      <c r="FM66" s="461"/>
      <c r="FN66" s="461"/>
      <c r="FO66" s="461"/>
      <c r="FP66" s="461"/>
      <c r="FQ66" s="461"/>
      <c r="FR66" s="461"/>
      <c r="FS66" s="461"/>
      <c r="FT66" s="461"/>
      <c r="FU66" s="461"/>
      <c r="FV66" s="461"/>
      <c r="FW66" s="461"/>
      <c r="FX66" s="461"/>
      <c r="FY66" s="461"/>
      <c r="FZ66" s="461"/>
      <c r="GA66" s="461"/>
      <c r="GB66" s="461"/>
      <c r="GC66" s="461"/>
      <c r="GD66" s="469"/>
      <c r="GE66" s="469"/>
      <c r="GF66" s="469"/>
      <c r="GG66" s="469"/>
      <c r="GH66" s="469"/>
      <c r="GI66" s="469"/>
      <c r="GJ66" s="469"/>
      <c r="GK66" s="469"/>
      <c r="GL66" s="469">
        <v>25.952136624392082</v>
      </c>
      <c r="GM66" s="458"/>
      <c r="GN66" s="469"/>
      <c r="GO66" s="469"/>
      <c r="GP66" s="468"/>
    </row>
    <row r="67" spans="1:198" x14ac:dyDescent="0.25">
      <c r="A67" s="465" t="s">
        <v>1619</v>
      </c>
      <c r="B67" s="461"/>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c r="AD67" s="461"/>
      <c r="AE67" s="461"/>
      <c r="AF67" s="461"/>
      <c r="AG67" s="461"/>
      <c r="AH67" s="461"/>
      <c r="AI67" s="461"/>
      <c r="AJ67" s="461"/>
      <c r="AK67" s="461"/>
      <c r="AL67" s="461"/>
      <c r="AM67" s="461"/>
      <c r="AN67" s="461"/>
      <c r="AO67" s="461"/>
      <c r="AP67" s="461"/>
      <c r="AQ67" s="461"/>
      <c r="AR67" s="461"/>
      <c r="AS67" s="461"/>
      <c r="AT67" s="461"/>
      <c r="AU67" s="461"/>
      <c r="AV67" s="461"/>
      <c r="AW67" s="461"/>
      <c r="AX67" s="461"/>
      <c r="AY67" s="461"/>
      <c r="AZ67" s="461"/>
      <c r="BA67" s="461"/>
      <c r="BB67" s="461"/>
      <c r="BC67" s="461"/>
      <c r="BD67" s="461"/>
      <c r="BE67" s="461"/>
      <c r="BF67" s="461"/>
      <c r="BG67" s="461"/>
      <c r="BH67" s="461"/>
      <c r="BI67" s="461"/>
      <c r="BJ67" s="461"/>
      <c r="BK67" s="461"/>
      <c r="BL67" s="461"/>
      <c r="BM67" s="461"/>
      <c r="BN67" s="461"/>
      <c r="BO67" s="461"/>
      <c r="BP67" s="461"/>
      <c r="BQ67" s="461"/>
      <c r="BR67" s="461"/>
      <c r="BS67" s="461"/>
      <c r="BT67" s="461"/>
      <c r="BU67" s="461"/>
      <c r="BV67" s="461"/>
      <c r="BW67" s="461"/>
      <c r="BX67" s="461"/>
      <c r="BY67" s="461"/>
      <c r="BZ67" s="461"/>
      <c r="CA67" s="461"/>
      <c r="CB67" s="461"/>
      <c r="CC67" s="461"/>
      <c r="CD67" s="461"/>
      <c r="CE67" s="461"/>
      <c r="CF67" s="461"/>
      <c r="CG67" s="461"/>
      <c r="CH67" s="461"/>
      <c r="CI67" s="461"/>
      <c r="CJ67" s="461"/>
      <c r="CK67" s="461"/>
      <c r="CL67" s="461"/>
      <c r="CM67" s="461"/>
      <c r="CN67" s="461"/>
      <c r="CO67" s="461"/>
      <c r="CP67" s="461"/>
      <c r="CQ67" s="461"/>
      <c r="CR67" s="461"/>
      <c r="CS67" s="461"/>
      <c r="CT67" s="461"/>
      <c r="CU67" s="461"/>
      <c r="CV67" s="461"/>
      <c r="CW67" s="461"/>
      <c r="CX67" s="461"/>
      <c r="CY67" s="461"/>
      <c r="CZ67" s="461"/>
      <c r="DA67" s="461"/>
      <c r="DB67" s="461"/>
      <c r="DC67" s="461"/>
      <c r="DD67" s="461"/>
      <c r="DE67" s="461"/>
      <c r="DF67" s="461"/>
      <c r="DG67" s="461"/>
      <c r="DH67" s="461"/>
      <c r="DI67" s="461"/>
      <c r="DJ67" s="461"/>
      <c r="DK67" s="461"/>
      <c r="DL67" s="461"/>
      <c r="DM67" s="461"/>
      <c r="DN67" s="461"/>
      <c r="DO67" s="461"/>
      <c r="DP67" s="461"/>
      <c r="DQ67" s="461"/>
      <c r="DR67" s="461"/>
      <c r="DS67" s="461"/>
      <c r="DT67" s="461"/>
      <c r="DU67" s="461"/>
      <c r="DV67" s="461"/>
      <c r="DW67" s="461"/>
      <c r="DX67" s="461"/>
      <c r="DY67" s="461"/>
      <c r="DZ67" s="461"/>
      <c r="EA67" s="461"/>
      <c r="EB67" s="461"/>
      <c r="EC67" s="461"/>
      <c r="ED67" s="461"/>
      <c r="EE67" s="461"/>
      <c r="EF67" s="461"/>
      <c r="EG67" s="461"/>
      <c r="EH67" s="461"/>
      <c r="EI67" s="461"/>
      <c r="EJ67" s="461"/>
      <c r="EK67" s="461"/>
      <c r="EL67" s="461"/>
      <c r="EM67" s="461">
        <v>28.229935042000275</v>
      </c>
      <c r="EN67" s="461"/>
      <c r="EO67" s="461"/>
      <c r="EP67" s="461"/>
      <c r="EQ67" s="461"/>
      <c r="ER67" s="461"/>
      <c r="ES67" s="461"/>
      <c r="ET67" s="461"/>
      <c r="EU67" s="461"/>
      <c r="EV67" s="461"/>
      <c r="EW67" s="461"/>
      <c r="EX67" s="461"/>
      <c r="EY67" s="461"/>
      <c r="EZ67" s="461"/>
      <c r="FA67" s="461"/>
      <c r="FB67" s="461"/>
      <c r="FC67" s="461"/>
      <c r="FD67" s="461"/>
      <c r="FE67" s="461"/>
      <c r="FF67" s="461"/>
      <c r="FG67" s="461"/>
      <c r="FH67" s="461"/>
      <c r="FI67" s="461"/>
      <c r="FJ67" s="461"/>
      <c r="FK67" s="461"/>
      <c r="FL67" s="461"/>
      <c r="FM67" s="461"/>
      <c r="FN67" s="461"/>
      <c r="FO67" s="461"/>
      <c r="FP67" s="461"/>
      <c r="FQ67" s="461"/>
      <c r="FR67" s="461"/>
      <c r="FS67" s="461"/>
      <c r="FT67" s="461"/>
      <c r="FU67" s="461"/>
      <c r="FV67" s="461"/>
      <c r="FW67" s="461"/>
      <c r="FX67" s="461"/>
      <c r="FY67" s="461"/>
      <c r="FZ67" s="461"/>
      <c r="GA67" s="461"/>
      <c r="GB67" s="461"/>
      <c r="GC67" s="461"/>
      <c r="GD67" s="469"/>
      <c r="GE67" s="469"/>
      <c r="GF67" s="469"/>
      <c r="GG67" s="469"/>
      <c r="GH67" s="469"/>
      <c r="GI67" s="469"/>
      <c r="GJ67" s="469"/>
      <c r="GK67" s="469"/>
      <c r="GL67" s="469">
        <v>28.229935042000275</v>
      </c>
      <c r="GM67" s="458"/>
      <c r="GN67" s="469"/>
      <c r="GO67" s="469"/>
      <c r="GP67" s="468"/>
    </row>
    <row r="68" spans="1:198" x14ac:dyDescent="0.25">
      <c r="A68" s="465" t="s">
        <v>1618</v>
      </c>
      <c r="B68" s="461"/>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c r="AB68" s="461"/>
      <c r="AC68" s="461"/>
      <c r="AD68" s="461"/>
      <c r="AE68" s="461"/>
      <c r="AF68" s="461"/>
      <c r="AG68" s="461"/>
      <c r="AH68" s="461"/>
      <c r="AI68" s="461"/>
      <c r="AJ68" s="461"/>
      <c r="AK68" s="461"/>
      <c r="AL68" s="461"/>
      <c r="AM68" s="461"/>
      <c r="AN68" s="461"/>
      <c r="AO68" s="461"/>
      <c r="AP68" s="461"/>
      <c r="AQ68" s="461"/>
      <c r="AR68" s="461"/>
      <c r="AS68" s="461"/>
      <c r="AT68" s="461"/>
      <c r="AU68" s="461"/>
      <c r="AV68" s="461"/>
      <c r="AW68" s="461"/>
      <c r="AX68" s="461"/>
      <c r="AY68" s="461"/>
      <c r="AZ68" s="461"/>
      <c r="BA68" s="461"/>
      <c r="BB68" s="461"/>
      <c r="BC68" s="461"/>
      <c r="BD68" s="461"/>
      <c r="BE68" s="461"/>
      <c r="BF68" s="461"/>
      <c r="BG68" s="461"/>
      <c r="BH68" s="461"/>
      <c r="BI68" s="461"/>
      <c r="BJ68" s="461"/>
      <c r="BK68" s="461"/>
      <c r="BL68" s="461"/>
      <c r="BM68" s="461"/>
      <c r="BN68" s="461"/>
      <c r="BO68" s="461"/>
      <c r="BP68" s="461"/>
      <c r="BQ68" s="461"/>
      <c r="BR68" s="461"/>
      <c r="BS68" s="461"/>
      <c r="BT68" s="461"/>
      <c r="BU68" s="461"/>
      <c r="BV68" s="461"/>
      <c r="BW68" s="461"/>
      <c r="BX68" s="461"/>
      <c r="BY68" s="461"/>
      <c r="BZ68" s="461"/>
      <c r="CA68" s="461"/>
      <c r="CB68" s="461"/>
      <c r="CC68" s="461"/>
      <c r="CD68" s="461"/>
      <c r="CE68" s="461"/>
      <c r="CF68" s="461"/>
      <c r="CG68" s="461"/>
      <c r="CH68" s="461"/>
      <c r="CI68" s="461"/>
      <c r="CJ68" s="461"/>
      <c r="CK68" s="461"/>
      <c r="CL68" s="461"/>
      <c r="CM68" s="461"/>
      <c r="CN68" s="461"/>
      <c r="CO68" s="461"/>
      <c r="CP68" s="461"/>
      <c r="CQ68" s="461"/>
      <c r="CR68" s="461"/>
      <c r="CS68" s="461"/>
      <c r="CT68" s="461"/>
      <c r="CU68" s="461"/>
      <c r="CV68" s="461"/>
      <c r="CW68" s="461"/>
      <c r="CX68" s="461"/>
      <c r="CY68" s="461"/>
      <c r="CZ68" s="461"/>
      <c r="DA68" s="461"/>
      <c r="DB68" s="461"/>
      <c r="DC68" s="461"/>
      <c r="DD68" s="461"/>
      <c r="DE68" s="461"/>
      <c r="DF68" s="461"/>
      <c r="DG68" s="461"/>
      <c r="DH68" s="461"/>
      <c r="DI68" s="461"/>
      <c r="DJ68" s="461"/>
      <c r="DK68" s="461"/>
      <c r="DL68" s="461"/>
      <c r="DM68" s="461"/>
      <c r="DN68" s="461"/>
      <c r="DO68" s="461"/>
      <c r="DP68" s="461"/>
      <c r="DQ68" s="461"/>
      <c r="DR68" s="461"/>
      <c r="DS68" s="461"/>
      <c r="DT68" s="461"/>
      <c r="DU68" s="461"/>
      <c r="DV68" s="461"/>
      <c r="DW68" s="461"/>
      <c r="DX68" s="461"/>
      <c r="DY68" s="461"/>
      <c r="DZ68" s="461"/>
      <c r="EA68" s="461"/>
      <c r="EB68" s="461"/>
      <c r="EC68" s="461"/>
      <c r="ED68" s="461"/>
      <c r="EE68" s="461"/>
      <c r="EF68" s="461"/>
      <c r="EG68" s="461"/>
      <c r="EH68" s="461"/>
      <c r="EI68" s="461"/>
      <c r="EJ68" s="461"/>
      <c r="EK68" s="461"/>
      <c r="EL68" s="461"/>
      <c r="EM68" s="461"/>
      <c r="EN68" s="461">
        <v>72.190122959888939</v>
      </c>
      <c r="EO68" s="461"/>
      <c r="EP68" s="461"/>
      <c r="EQ68" s="461"/>
      <c r="ER68" s="461"/>
      <c r="ES68" s="461"/>
      <c r="ET68" s="461"/>
      <c r="EU68" s="461"/>
      <c r="EV68" s="461"/>
      <c r="EW68" s="461"/>
      <c r="EX68" s="461"/>
      <c r="EY68" s="461"/>
      <c r="EZ68" s="461"/>
      <c r="FA68" s="461"/>
      <c r="FB68" s="461"/>
      <c r="FC68" s="461"/>
      <c r="FD68" s="461"/>
      <c r="FE68" s="461"/>
      <c r="FF68" s="461"/>
      <c r="FG68" s="461"/>
      <c r="FH68" s="461"/>
      <c r="FI68" s="461"/>
      <c r="FJ68" s="461"/>
      <c r="FK68" s="461"/>
      <c r="FL68" s="461"/>
      <c r="FM68" s="461"/>
      <c r="FN68" s="461"/>
      <c r="FO68" s="461"/>
      <c r="FP68" s="461"/>
      <c r="FQ68" s="461"/>
      <c r="FR68" s="461"/>
      <c r="FS68" s="461"/>
      <c r="FT68" s="461"/>
      <c r="FU68" s="461"/>
      <c r="FV68" s="461"/>
      <c r="FW68" s="461"/>
      <c r="FX68" s="461"/>
      <c r="FY68" s="461"/>
      <c r="FZ68" s="461"/>
      <c r="GA68" s="461"/>
      <c r="GB68" s="461"/>
      <c r="GC68" s="461"/>
      <c r="GD68" s="469"/>
      <c r="GE68" s="469"/>
      <c r="GF68" s="469"/>
      <c r="GG68" s="469"/>
      <c r="GH68" s="469"/>
      <c r="GI68" s="469"/>
      <c r="GJ68" s="469"/>
      <c r="GK68" s="469"/>
      <c r="GL68" s="469">
        <v>72.190122959888939</v>
      </c>
      <c r="GM68" s="458"/>
      <c r="GN68" s="469"/>
      <c r="GO68" s="469"/>
      <c r="GP68" s="468"/>
    </row>
    <row r="69" spans="1:198" x14ac:dyDescent="0.25">
      <c r="A69" s="465" t="s">
        <v>1617</v>
      </c>
      <c r="B69" s="461"/>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c r="AB69" s="461"/>
      <c r="AC69" s="461"/>
      <c r="AD69" s="461"/>
      <c r="AE69" s="461"/>
      <c r="AF69" s="461"/>
      <c r="AG69" s="461"/>
      <c r="AH69" s="461"/>
      <c r="AI69" s="461"/>
      <c r="AJ69" s="461"/>
      <c r="AK69" s="461"/>
      <c r="AL69" s="461"/>
      <c r="AM69" s="461"/>
      <c r="AN69" s="461"/>
      <c r="AO69" s="461"/>
      <c r="AP69" s="461"/>
      <c r="AQ69" s="461"/>
      <c r="AR69" s="461"/>
      <c r="AS69" s="461"/>
      <c r="AT69" s="461"/>
      <c r="AU69" s="461"/>
      <c r="AV69" s="461"/>
      <c r="AW69" s="461"/>
      <c r="AX69" s="461"/>
      <c r="AY69" s="461"/>
      <c r="AZ69" s="461"/>
      <c r="BA69" s="461"/>
      <c r="BB69" s="461"/>
      <c r="BC69" s="461"/>
      <c r="BD69" s="461"/>
      <c r="BE69" s="461"/>
      <c r="BF69" s="461"/>
      <c r="BG69" s="461"/>
      <c r="BH69" s="461"/>
      <c r="BI69" s="461"/>
      <c r="BJ69" s="461"/>
      <c r="BK69" s="461"/>
      <c r="BL69" s="461"/>
      <c r="BM69" s="461"/>
      <c r="BN69" s="461"/>
      <c r="BO69" s="461"/>
      <c r="BP69" s="461"/>
      <c r="BQ69" s="461"/>
      <c r="BR69" s="461"/>
      <c r="BS69" s="461"/>
      <c r="BT69" s="461"/>
      <c r="BU69" s="461"/>
      <c r="BV69" s="461"/>
      <c r="BW69" s="461"/>
      <c r="BX69" s="461"/>
      <c r="BY69" s="461"/>
      <c r="BZ69" s="461"/>
      <c r="CA69" s="461"/>
      <c r="CB69" s="461"/>
      <c r="CC69" s="461"/>
      <c r="CD69" s="461"/>
      <c r="CE69" s="461"/>
      <c r="CF69" s="461"/>
      <c r="CG69" s="461"/>
      <c r="CH69" s="461"/>
      <c r="CI69" s="461"/>
      <c r="CJ69" s="461"/>
      <c r="CK69" s="461"/>
      <c r="CL69" s="461"/>
      <c r="CM69" s="461"/>
      <c r="CN69" s="461"/>
      <c r="CO69" s="461"/>
      <c r="CP69" s="461"/>
      <c r="CQ69" s="461"/>
      <c r="CR69" s="461"/>
      <c r="CS69" s="461"/>
      <c r="CT69" s="461"/>
      <c r="CU69" s="461"/>
      <c r="CV69" s="461"/>
      <c r="CW69" s="461"/>
      <c r="CX69" s="461"/>
      <c r="CY69" s="461"/>
      <c r="CZ69" s="461"/>
      <c r="DA69" s="461"/>
      <c r="DB69" s="461"/>
      <c r="DC69" s="461"/>
      <c r="DD69" s="461"/>
      <c r="DE69" s="461"/>
      <c r="DF69" s="461"/>
      <c r="DG69" s="461"/>
      <c r="DH69" s="461"/>
      <c r="DI69" s="461"/>
      <c r="DJ69" s="461"/>
      <c r="DK69" s="461"/>
      <c r="DL69" s="461"/>
      <c r="DM69" s="461"/>
      <c r="DN69" s="461"/>
      <c r="DO69" s="461"/>
      <c r="DP69" s="461"/>
      <c r="DQ69" s="461"/>
      <c r="DR69" s="461"/>
      <c r="DS69" s="461"/>
      <c r="DT69" s="461"/>
      <c r="DU69" s="461"/>
      <c r="DV69" s="461"/>
      <c r="DW69" s="461"/>
      <c r="DX69" s="461"/>
      <c r="DY69" s="461"/>
      <c r="DZ69" s="461"/>
      <c r="EA69" s="461"/>
      <c r="EB69" s="461"/>
      <c r="EC69" s="461"/>
      <c r="ED69" s="461"/>
      <c r="EE69" s="461"/>
      <c r="EF69" s="461"/>
      <c r="EG69" s="461"/>
      <c r="EH69" s="461"/>
      <c r="EI69" s="461"/>
      <c r="EJ69" s="461"/>
      <c r="EK69" s="461"/>
      <c r="EL69" s="461"/>
      <c r="EM69" s="461"/>
      <c r="EN69" s="461"/>
      <c r="EO69" s="461">
        <v>242.28570685152857</v>
      </c>
      <c r="EP69" s="461"/>
      <c r="EQ69" s="461"/>
      <c r="ER69" s="461"/>
      <c r="ES69" s="461"/>
      <c r="ET69" s="461"/>
      <c r="EU69" s="461"/>
      <c r="EV69" s="461"/>
      <c r="EW69" s="461"/>
      <c r="EX69" s="461"/>
      <c r="EY69" s="461"/>
      <c r="EZ69" s="461"/>
      <c r="FA69" s="461"/>
      <c r="FB69" s="461"/>
      <c r="FC69" s="461"/>
      <c r="FD69" s="461"/>
      <c r="FE69" s="461"/>
      <c r="FF69" s="461"/>
      <c r="FG69" s="461"/>
      <c r="FH69" s="461"/>
      <c r="FI69" s="461"/>
      <c r="FJ69" s="461"/>
      <c r="FK69" s="461"/>
      <c r="FL69" s="461"/>
      <c r="FM69" s="461"/>
      <c r="FN69" s="461"/>
      <c r="FO69" s="461"/>
      <c r="FP69" s="461"/>
      <c r="FQ69" s="461"/>
      <c r="FR69" s="461"/>
      <c r="FS69" s="461"/>
      <c r="FT69" s="461"/>
      <c r="FU69" s="461"/>
      <c r="FV69" s="461"/>
      <c r="FW69" s="461"/>
      <c r="FX69" s="461"/>
      <c r="FY69" s="461"/>
      <c r="FZ69" s="461"/>
      <c r="GA69" s="461"/>
      <c r="GB69" s="461"/>
      <c r="GC69" s="461"/>
      <c r="GD69" s="469"/>
      <c r="GE69" s="469"/>
      <c r="GF69" s="469"/>
      <c r="GG69" s="469"/>
      <c r="GH69" s="469"/>
      <c r="GI69" s="469"/>
      <c r="GJ69" s="469"/>
      <c r="GK69" s="469"/>
      <c r="GL69" s="469">
        <v>242.28570685152857</v>
      </c>
      <c r="GM69" s="458"/>
      <c r="GN69" s="469"/>
      <c r="GO69" s="469"/>
      <c r="GP69" s="468"/>
    </row>
    <row r="70" spans="1:198" x14ac:dyDescent="0.25">
      <c r="A70" s="465" t="s">
        <v>1616</v>
      </c>
      <c r="B70" s="461"/>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c r="AB70" s="461"/>
      <c r="AC70" s="461"/>
      <c r="AD70" s="461"/>
      <c r="AE70" s="461"/>
      <c r="AF70" s="461"/>
      <c r="AG70" s="461"/>
      <c r="AH70" s="461"/>
      <c r="AI70" s="461"/>
      <c r="AJ70" s="461"/>
      <c r="AK70" s="461"/>
      <c r="AL70" s="461"/>
      <c r="AM70" s="461"/>
      <c r="AN70" s="461"/>
      <c r="AO70" s="461"/>
      <c r="AP70" s="461"/>
      <c r="AQ70" s="461"/>
      <c r="AR70" s="461"/>
      <c r="AS70" s="461"/>
      <c r="AT70" s="461"/>
      <c r="AU70" s="461"/>
      <c r="AV70" s="461"/>
      <c r="AW70" s="461"/>
      <c r="AX70" s="461"/>
      <c r="AY70" s="461"/>
      <c r="AZ70" s="461"/>
      <c r="BA70" s="461"/>
      <c r="BB70" s="461"/>
      <c r="BC70" s="461"/>
      <c r="BD70" s="461"/>
      <c r="BE70" s="461"/>
      <c r="BF70" s="461"/>
      <c r="BG70" s="461"/>
      <c r="BH70" s="461"/>
      <c r="BI70" s="461"/>
      <c r="BJ70" s="461"/>
      <c r="BK70" s="461"/>
      <c r="BL70" s="461"/>
      <c r="BM70" s="461"/>
      <c r="BN70" s="461"/>
      <c r="BO70" s="461"/>
      <c r="BP70" s="461"/>
      <c r="BQ70" s="461"/>
      <c r="BR70" s="461"/>
      <c r="BS70" s="461"/>
      <c r="BT70" s="461"/>
      <c r="BU70" s="461"/>
      <c r="BV70" s="461"/>
      <c r="BW70" s="461"/>
      <c r="BX70" s="461"/>
      <c r="BY70" s="461"/>
      <c r="BZ70" s="461"/>
      <c r="CA70" s="461"/>
      <c r="CB70" s="461"/>
      <c r="CC70" s="461"/>
      <c r="CD70" s="461"/>
      <c r="CE70" s="461"/>
      <c r="CF70" s="461"/>
      <c r="CG70" s="461"/>
      <c r="CH70" s="461"/>
      <c r="CI70" s="461"/>
      <c r="CJ70" s="461"/>
      <c r="CK70" s="461"/>
      <c r="CL70" s="461"/>
      <c r="CM70" s="461"/>
      <c r="CN70" s="461"/>
      <c r="CO70" s="461"/>
      <c r="CP70" s="461"/>
      <c r="CQ70" s="461"/>
      <c r="CR70" s="461"/>
      <c r="CS70" s="461"/>
      <c r="CT70" s="461"/>
      <c r="CU70" s="461"/>
      <c r="CV70" s="461"/>
      <c r="CW70" s="461"/>
      <c r="CX70" s="461"/>
      <c r="CY70" s="461"/>
      <c r="CZ70" s="461"/>
      <c r="DA70" s="461"/>
      <c r="DB70" s="461"/>
      <c r="DC70" s="461"/>
      <c r="DD70" s="461"/>
      <c r="DE70" s="461"/>
      <c r="DF70" s="461"/>
      <c r="DG70" s="461"/>
      <c r="DH70" s="461"/>
      <c r="DI70" s="461"/>
      <c r="DJ70" s="461"/>
      <c r="DK70" s="461"/>
      <c r="DL70" s="461"/>
      <c r="DM70" s="461"/>
      <c r="DN70" s="461"/>
      <c r="DO70" s="461"/>
      <c r="DP70" s="461"/>
      <c r="DQ70" s="461"/>
      <c r="DR70" s="461"/>
      <c r="DS70" s="461"/>
      <c r="DT70" s="461"/>
      <c r="DU70" s="461"/>
      <c r="DV70" s="461"/>
      <c r="DW70" s="461"/>
      <c r="DX70" s="461"/>
      <c r="DY70" s="461"/>
      <c r="DZ70" s="461"/>
      <c r="EA70" s="461"/>
      <c r="EB70" s="461"/>
      <c r="EC70" s="461"/>
      <c r="ED70" s="461"/>
      <c r="EE70" s="461"/>
      <c r="EF70" s="461"/>
      <c r="EG70" s="461"/>
      <c r="EH70" s="461"/>
      <c r="EI70" s="461"/>
      <c r="EJ70" s="461"/>
      <c r="EK70" s="461"/>
      <c r="EL70" s="461"/>
      <c r="EM70" s="461"/>
      <c r="EN70" s="461"/>
      <c r="EO70" s="461"/>
      <c r="EP70" s="461">
        <v>86.703458928823821</v>
      </c>
      <c r="EQ70" s="461"/>
      <c r="ER70" s="461"/>
      <c r="ES70" s="461"/>
      <c r="ET70" s="461"/>
      <c r="EU70" s="461"/>
      <c r="EV70" s="461"/>
      <c r="EW70" s="461"/>
      <c r="EX70" s="461"/>
      <c r="EY70" s="461"/>
      <c r="EZ70" s="461"/>
      <c r="FA70" s="461"/>
      <c r="FB70" s="461"/>
      <c r="FC70" s="461"/>
      <c r="FD70" s="461"/>
      <c r="FE70" s="461"/>
      <c r="FF70" s="461"/>
      <c r="FG70" s="461"/>
      <c r="FH70" s="461"/>
      <c r="FI70" s="461"/>
      <c r="FJ70" s="461"/>
      <c r="FK70" s="461"/>
      <c r="FL70" s="461"/>
      <c r="FM70" s="461"/>
      <c r="FN70" s="461"/>
      <c r="FO70" s="461"/>
      <c r="FP70" s="461"/>
      <c r="FQ70" s="461"/>
      <c r="FR70" s="461"/>
      <c r="FS70" s="461"/>
      <c r="FT70" s="461"/>
      <c r="FU70" s="461"/>
      <c r="FV70" s="461"/>
      <c r="FW70" s="461"/>
      <c r="FX70" s="461"/>
      <c r="FY70" s="461"/>
      <c r="FZ70" s="461"/>
      <c r="GA70" s="461"/>
      <c r="GB70" s="461"/>
      <c r="GC70" s="461"/>
      <c r="GD70" s="469"/>
      <c r="GE70" s="469"/>
      <c r="GF70" s="469"/>
      <c r="GG70" s="469"/>
      <c r="GH70" s="469"/>
      <c r="GI70" s="469"/>
      <c r="GJ70" s="469"/>
      <c r="GK70" s="469"/>
      <c r="GL70" s="469">
        <v>86.703458928823821</v>
      </c>
      <c r="GM70" s="458"/>
      <c r="GN70" s="469"/>
      <c r="GO70" s="469"/>
      <c r="GP70" s="468"/>
    </row>
    <row r="71" spans="1:198" x14ac:dyDescent="0.25">
      <c r="A71" s="465" t="s">
        <v>1615</v>
      </c>
      <c r="B71" s="461"/>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c r="AB71" s="461"/>
      <c r="AC71" s="461"/>
      <c r="AD71" s="461"/>
      <c r="AE71" s="461"/>
      <c r="AF71" s="461"/>
      <c r="AG71" s="461"/>
      <c r="AH71" s="461"/>
      <c r="AI71" s="461"/>
      <c r="AJ71" s="461"/>
      <c r="AK71" s="461"/>
      <c r="AL71" s="461"/>
      <c r="AM71" s="461"/>
      <c r="AN71" s="461"/>
      <c r="AO71" s="461"/>
      <c r="AP71" s="461"/>
      <c r="AQ71" s="461"/>
      <c r="AR71" s="461"/>
      <c r="AS71" s="461"/>
      <c r="AT71" s="461"/>
      <c r="AU71" s="461"/>
      <c r="AV71" s="461"/>
      <c r="AW71" s="461"/>
      <c r="AX71" s="461"/>
      <c r="AY71" s="461"/>
      <c r="AZ71" s="461"/>
      <c r="BA71" s="461"/>
      <c r="BB71" s="461"/>
      <c r="BC71" s="461"/>
      <c r="BD71" s="461"/>
      <c r="BE71" s="461"/>
      <c r="BF71" s="461"/>
      <c r="BG71" s="461"/>
      <c r="BH71" s="461"/>
      <c r="BI71" s="461"/>
      <c r="BJ71" s="461"/>
      <c r="BK71" s="461"/>
      <c r="BL71" s="461"/>
      <c r="BM71" s="461"/>
      <c r="BN71" s="461"/>
      <c r="BO71" s="461"/>
      <c r="BP71" s="461"/>
      <c r="BQ71" s="461"/>
      <c r="BR71" s="461"/>
      <c r="BS71" s="461"/>
      <c r="BT71" s="461"/>
      <c r="BU71" s="461"/>
      <c r="BV71" s="461"/>
      <c r="BW71" s="461"/>
      <c r="BX71" s="461"/>
      <c r="BY71" s="461"/>
      <c r="BZ71" s="461"/>
      <c r="CA71" s="461"/>
      <c r="CB71" s="461"/>
      <c r="CC71" s="461"/>
      <c r="CD71" s="461"/>
      <c r="CE71" s="461"/>
      <c r="CF71" s="461"/>
      <c r="CG71" s="461"/>
      <c r="CH71" s="461"/>
      <c r="CI71" s="461"/>
      <c r="CJ71" s="461"/>
      <c r="CK71" s="461"/>
      <c r="CL71" s="461"/>
      <c r="CM71" s="461"/>
      <c r="CN71" s="461"/>
      <c r="CO71" s="461"/>
      <c r="CP71" s="461"/>
      <c r="CQ71" s="461"/>
      <c r="CR71" s="461"/>
      <c r="CS71" s="461"/>
      <c r="CT71" s="461"/>
      <c r="CU71" s="461"/>
      <c r="CV71" s="461"/>
      <c r="CW71" s="461"/>
      <c r="CX71" s="461"/>
      <c r="CY71" s="461"/>
      <c r="CZ71" s="461"/>
      <c r="DA71" s="461"/>
      <c r="DB71" s="461"/>
      <c r="DC71" s="461"/>
      <c r="DD71" s="461"/>
      <c r="DE71" s="461"/>
      <c r="DF71" s="461"/>
      <c r="DG71" s="461"/>
      <c r="DH71" s="461"/>
      <c r="DI71" s="461"/>
      <c r="DJ71" s="461"/>
      <c r="DK71" s="461"/>
      <c r="DL71" s="461"/>
      <c r="DM71" s="461"/>
      <c r="DN71" s="461"/>
      <c r="DO71" s="461"/>
      <c r="DP71" s="461"/>
      <c r="DQ71" s="461"/>
      <c r="DR71" s="461"/>
      <c r="DS71" s="461"/>
      <c r="DT71" s="461"/>
      <c r="DU71" s="461"/>
      <c r="DV71" s="461"/>
      <c r="DW71" s="461"/>
      <c r="DX71" s="461"/>
      <c r="DY71" s="461"/>
      <c r="DZ71" s="461"/>
      <c r="EA71" s="461"/>
      <c r="EB71" s="461"/>
      <c r="EC71" s="461"/>
      <c r="ED71" s="461"/>
      <c r="EE71" s="461"/>
      <c r="EF71" s="461"/>
      <c r="EG71" s="461"/>
      <c r="EH71" s="461"/>
      <c r="EI71" s="461"/>
      <c r="EJ71" s="461"/>
      <c r="EK71" s="461"/>
      <c r="EL71" s="461"/>
      <c r="EM71" s="461"/>
      <c r="EN71" s="461"/>
      <c r="EO71" s="461"/>
      <c r="EP71" s="461"/>
      <c r="EQ71" s="461">
        <v>553.23303590510795</v>
      </c>
      <c r="ER71" s="461"/>
      <c r="ES71" s="461"/>
      <c r="ET71" s="461"/>
      <c r="EU71" s="461"/>
      <c r="EV71" s="461"/>
      <c r="EW71" s="461"/>
      <c r="EX71" s="461"/>
      <c r="EY71" s="461"/>
      <c r="EZ71" s="461"/>
      <c r="FA71" s="461"/>
      <c r="FB71" s="461"/>
      <c r="FC71" s="461"/>
      <c r="FD71" s="461"/>
      <c r="FE71" s="461"/>
      <c r="FF71" s="461"/>
      <c r="FG71" s="461"/>
      <c r="FH71" s="461"/>
      <c r="FI71" s="461"/>
      <c r="FJ71" s="461"/>
      <c r="FK71" s="461"/>
      <c r="FL71" s="461"/>
      <c r="FM71" s="461"/>
      <c r="FN71" s="461"/>
      <c r="FO71" s="461"/>
      <c r="FP71" s="461"/>
      <c r="FQ71" s="461"/>
      <c r="FR71" s="461"/>
      <c r="FS71" s="461"/>
      <c r="FT71" s="461"/>
      <c r="FU71" s="461"/>
      <c r="FV71" s="461"/>
      <c r="FW71" s="461"/>
      <c r="FX71" s="461"/>
      <c r="FY71" s="461"/>
      <c r="FZ71" s="461"/>
      <c r="GA71" s="461"/>
      <c r="GB71" s="461"/>
      <c r="GC71" s="461"/>
      <c r="GD71" s="469"/>
      <c r="GE71" s="469"/>
      <c r="GF71" s="469"/>
      <c r="GG71" s="469"/>
      <c r="GH71" s="469"/>
      <c r="GI71" s="469"/>
      <c r="GJ71" s="469"/>
      <c r="GK71" s="469"/>
      <c r="GL71" s="469">
        <v>553.23303590510795</v>
      </c>
      <c r="GM71" s="458"/>
      <c r="GN71" s="469"/>
      <c r="GO71" s="469"/>
      <c r="GP71" s="468"/>
    </row>
    <row r="72" spans="1:198" x14ac:dyDescent="0.25">
      <c r="A72" s="465" t="s">
        <v>1614</v>
      </c>
      <c r="B72" s="461"/>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c r="AB72" s="461"/>
      <c r="AC72" s="461"/>
      <c r="AD72" s="461"/>
      <c r="AE72" s="461"/>
      <c r="AF72" s="461"/>
      <c r="AG72" s="461"/>
      <c r="AH72" s="461"/>
      <c r="AI72" s="461"/>
      <c r="AJ72" s="461"/>
      <c r="AK72" s="461"/>
      <c r="AL72" s="461"/>
      <c r="AM72" s="461"/>
      <c r="AN72" s="461"/>
      <c r="AO72" s="461"/>
      <c r="AP72" s="461"/>
      <c r="AQ72" s="461"/>
      <c r="AR72" s="461"/>
      <c r="AS72" s="461"/>
      <c r="AT72" s="461"/>
      <c r="AU72" s="461"/>
      <c r="AV72" s="461"/>
      <c r="AW72" s="461"/>
      <c r="AX72" s="461"/>
      <c r="AY72" s="461"/>
      <c r="AZ72" s="461"/>
      <c r="BA72" s="461"/>
      <c r="BB72" s="461"/>
      <c r="BC72" s="461"/>
      <c r="BD72" s="461"/>
      <c r="BE72" s="461"/>
      <c r="BF72" s="461"/>
      <c r="BG72" s="461"/>
      <c r="BH72" s="461"/>
      <c r="BI72" s="461"/>
      <c r="BJ72" s="461"/>
      <c r="BK72" s="461"/>
      <c r="BL72" s="461"/>
      <c r="BM72" s="461"/>
      <c r="BN72" s="461"/>
      <c r="BO72" s="461"/>
      <c r="BP72" s="461"/>
      <c r="BQ72" s="461"/>
      <c r="BR72" s="461"/>
      <c r="BS72" s="461"/>
      <c r="BT72" s="461"/>
      <c r="BU72" s="461"/>
      <c r="BV72" s="461"/>
      <c r="BW72" s="461"/>
      <c r="BX72" s="461"/>
      <c r="BY72" s="461"/>
      <c r="BZ72" s="461"/>
      <c r="CA72" s="461"/>
      <c r="CB72" s="461"/>
      <c r="CC72" s="461"/>
      <c r="CD72" s="461"/>
      <c r="CE72" s="461"/>
      <c r="CF72" s="461"/>
      <c r="CG72" s="461"/>
      <c r="CH72" s="461"/>
      <c r="CI72" s="461"/>
      <c r="CJ72" s="461"/>
      <c r="CK72" s="461"/>
      <c r="CL72" s="461"/>
      <c r="CM72" s="461"/>
      <c r="CN72" s="461"/>
      <c r="CO72" s="461"/>
      <c r="CP72" s="461"/>
      <c r="CQ72" s="461"/>
      <c r="CR72" s="461"/>
      <c r="CS72" s="461"/>
      <c r="CT72" s="461"/>
      <c r="CU72" s="461"/>
      <c r="CV72" s="461"/>
      <c r="CW72" s="461"/>
      <c r="CX72" s="461"/>
      <c r="CY72" s="461"/>
      <c r="CZ72" s="461"/>
      <c r="DA72" s="461"/>
      <c r="DB72" s="461"/>
      <c r="DC72" s="461"/>
      <c r="DD72" s="461"/>
      <c r="DE72" s="461"/>
      <c r="DF72" s="461"/>
      <c r="DG72" s="461"/>
      <c r="DH72" s="461"/>
      <c r="DI72" s="461"/>
      <c r="DJ72" s="461"/>
      <c r="DK72" s="461"/>
      <c r="DL72" s="461"/>
      <c r="DM72" s="461"/>
      <c r="DN72" s="461"/>
      <c r="DO72" s="461"/>
      <c r="DP72" s="461"/>
      <c r="DQ72" s="461"/>
      <c r="DR72" s="461"/>
      <c r="DS72" s="461"/>
      <c r="DT72" s="461"/>
      <c r="DU72" s="461"/>
      <c r="DV72" s="461"/>
      <c r="DW72" s="461"/>
      <c r="DX72" s="461"/>
      <c r="DY72" s="461"/>
      <c r="DZ72" s="461"/>
      <c r="EA72" s="461"/>
      <c r="EB72" s="461"/>
      <c r="EC72" s="461"/>
      <c r="ED72" s="461"/>
      <c r="EE72" s="461"/>
      <c r="EF72" s="461"/>
      <c r="EG72" s="461"/>
      <c r="EH72" s="461"/>
      <c r="EI72" s="461"/>
      <c r="EJ72" s="461"/>
      <c r="EK72" s="461"/>
      <c r="EL72" s="461"/>
      <c r="EM72" s="461"/>
      <c r="EN72" s="461"/>
      <c r="EO72" s="461"/>
      <c r="EP72" s="461"/>
      <c r="EQ72" s="461"/>
      <c r="ER72" s="461">
        <v>1042.3370839767765</v>
      </c>
      <c r="ES72" s="461"/>
      <c r="ET72" s="461"/>
      <c r="EU72" s="461"/>
      <c r="EV72" s="461"/>
      <c r="EW72" s="461"/>
      <c r="EX72" s="461"/>
      <c r="EY72" s="461"/>
      <c r="EZ72" s="461"/>
      <c r="FA72" s="461"/>
      <c r="FB72" s="461"/>
      <c r="FC72" s="461"/>
      <c r="FD72" s="461"/>
      <c r="FE72" s="461"/>
      <c r="FF72" s="461"/>
      <c r="FG72" s="461"/>
      <c r="FH72" s="461"/>
      <c r="FI72" s="461"/>
      <c r="FJ72" s="461"/>
      <c r="FK72" s="461"/>
      <c r="FL72" s="461"/>
      <c r="FM72" s="461"/>
      <c r="FN72" s="461"/>
      <c r="FO72" s="461"/>
      <c r="FP72" s="461"/>
      <c r="FQ72" s="461"/>
      <c r="FR72" s="461"/>
      <c r="FS72" s="461"/>
      <c r="FT72" s="461"/>
      <c r="FU72" s="461"/>
      <c r="FV72" s="461"/>
      <c r="FW72" s="461"/>
      <c r="FX72" s="461"/>
      <c r="FY72" s="461"/>
      <c r="FZ72" s="461"/>
      <c r="GA72" s="461"/>
      <c r="GB72" s="461"/>
      <c r="GC72" s="461"/>
      <c r="GD72" s="469"/>
      <c r="GE72" s="469"/>
      <c r="GF72" s="469"/>
      <c r="GG72" s="469"/>
      <c r="GH72" s="469"/>
      <c r="GI72" s="469"/>
      <c r="GJ72" s="469"/>
      <c r="GK72" s="469"/>
      <c r="GL72" s="469">
        <v>1042.3370839767765</v>
      </c>
      <c r="GM72" s="458"/>
      <c r="GN72" s="469"/>
      <c r="GO72" s="469"/>
      <c r="GP72" s="468"/>
    </row>
    <row r="73" spans="1:198" x14ac:dyDescent="0.25">
      <c r="A73" s="465" t="s">
        <v>1613</v>
      </c>
      <c r="B73" s="461"/>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c r="AB73" s="461"/>
      <c r="AC73" s="461"/>
      <c r="AD73" s="461"/>
      <c r="AE73" s="461"/>
      <c r="AF73" s="461"/>
      <c r="AG73" s="461"/>
      <c r="AH73" s="461"/>
      <c r="AI73" s="461"/>
      <c r="AJ73" s="461"/>
      <c r="AK73" s="461"/>
      <c r="AL73" s="461"/>
      <c r="AM73" s="461"/>
      <c r="AN73" s="461"/>
      <c r="AO73" s="461"/>
      <c r="AP73" s="461"/>
      <c r="AQ73" s="461"/>
      <c r="AR73" s="461"/>
      <c r="AS73" s="461"/>
      <c r="AT73" s="461"/>
      <c r="AU73" s="461"/>
      <c r="AV73" s="461"/>
      <c r="AW73" s="461"/>
      <c r="AX73" s="461"/>
      <c r="AY73" s="461"/>
      <c r="AZ73" s="461"/>
      <c r="BA73" s="461"/>
      <c r="BB73" s="461"/>
      <c r="BC73" s="461"/>
      <c r="BD73" s="461"/>
      <c r="BE73" s="461"/>
      <c r="BF73" s="461"/>
      <c r="BG73" s="461"/>
      <c r="BH73" s="461"/>
      <c r="BI73" s="461"/>
      <c r="BJ73" s="461"/>
      <c r="BK73" s="461"/>
      <c r="BL73" s="461"/>
      <c r="BM73" s="461"/>
      <c r="BN73" s="461"/>
      <c r="BO73" s="461"/>
      <c r="BP73" s="461"/>
      <c r="BQ73" s="461"/>
      <c r="BR73" s="461"/>
      <c r="BS73" s="461"/>
      <c r="BT73" s="461"/>
      <c r="BU73" s="461"/>
      <c r="BV73" s="461"/>
      <c r="BW73" s="461"/>
      <c r="BX73" s="461"/>
      <c r="BY73" s="461"/>
      <c r="BZ73" s="461"/>
      <c r="CA73" s="461"/>
      <c r="CB73" s="461"/>
      <c r="CC73" s="461"/>
      <c r="CD73" s="461"/>
      <c r="CE73" s="461"/>
      <c r="CF73" s="461"/>
      <c r="CG73" s="461"/>
      <c r="CH73" s="461"/>
      <c r="CI73" s="461"/>
      <c r="CJ73" s="461"/>
      <c r="CK73" s="461"/>
      <c r="CL73" s="461"/>
      <c r="CM73" s="461"/>
      <c r="CN73" s="461"/>
      <c r="CO73" s="461"/>
      <c r="CP73" s="461"/>
      <c r="CQ73" s="461"/>
      <c r="CR73" s="461"/>
      <c r="CS73" s="461"/>
      <c r="CT73" s="461"/>
      <c r="CU73" s="461"/>
      <c r="CV73" s="461"/>
      <c r="CW73" s="461"/>
      <c r="CX73" s="461"/>
      <c r="CY73" s="461"/>
      <c r="CZ73" s="461"/>
      <c r="DA73" s="461"/>
      <c r="DB73" s="461"/>
      <c r="DC73" s="461"/>
      <c r="DD73" s="461"/>
      <c r="DE73" s="461"/>
      <c r="DF73" s="461"/>
      <c r="DG73" s="461"/>
      <c r="DH73" s="461"/>
      <c r="DI73" s="461"/>
      <c r="DJ73" s="461"/>
      <c r="DK73" s="461"/>
      <c r="DL73" s="461"/>
      <c r="DM73" s="461"/>
      <c r="DN73" s="461"/>
      <c r="DO73" s="461"/>
      <c r="DP73" s="461"/>
      <c r="DQ73" s="461"/>
      <c r="DR73" s="461"/>
      <c r="DS73" s="461"/>
      <c r="DT73" s="461"/>
      <c r="DU73" s="461"/>
      <c r="DV73" s="461"/>
      <c r="DW73" s="461"/>
      <c r="DX73" s="461"/>
      <c r="DY73" s="461"/>
      <c r="DZ73" s="461"/>
      <c r="EA73" s="461"/>
      <c r="EB73" s="461"/>
      <c r="EC73" s="461"/>
      <c r="ED73" s="461"/>
      <c r="EE73" s="461"/>
      <c r="EF73" s="461"/>
      <c r="EG73" s="461"/>
      <c r="EH73" s="461"/>
      <c r="EI73" s="461"/>
      <c r="EJ73" s="461"/>
      <c r="EK73" s="461"/>
      <c r="EL73" s="461"/>
      <c r="EM73" s="461"/>
      <c r="EN73" s="461"/>
      <c r="EO73" s="461"/>
      <c r="EP73" s="461"/>
      <c r="EQ73" s="461"/>
      <c r="ER73" s="461"/>
      <c r="ES73" s="461">
        <v>117.7653524656411</v>
      </c>
      <c r="ET73" s="461"/>
      <c r="EU73" s="461"/>
      <c r="EV73" s="461"/>
      <c r="EW73" s="461"/>
      <c r="EX73" s="461"/>
      <c r="EY73" s="461"/>
      <c r="EZ73" s="461"/>
      <c r="FA73" s="461"/>
      <c r="FB73" s="461"/>
      <c r="FC73" s="461"/>
      <c r="FD73" s="461"/>
      <c r="FE73" s="461"/>
      <c r="FF73" s="461"/>
      <c r="FG73" s="461"/>
      <c r="FH73" s="461"/>
      <c r="FI73" s="461"/>
      <c r="FJ73" s="461"/>
      <c r="FK73" s="461"/>
      <c r="FL73" s="461"/>
      <c r="FM73" s="461"/>
      <c r="FN73" s="461"/>
      <c r="FO73" s="461"/>
      <c r="FP73" s="461"/>
      <c r="FQ73" s="461"/>
      <c r="FR73" s="461"/>
      <c r="FS73" s="461"/>
      <c r="FT73" s="461"/>
      <c r="FU73" s="461"/>
      <c r="FV73" s="461"/>
      <c r="FW73" s="461"/>
      <c r="FX73" s="461"/>
      <c r="FY73" s="461"/>
      <c r="FZ73" s="461"/>
      <c r="GA73" s="461"/>
      <c r="GB73" s="461"/>
      <c r="GC73" s="461"/>
      <c r="GD73" s="469"/>
      <c r="GE73" s="469"/>
      <c r="GF73" s="469"/>
      <c r="GG73" s="469"/>
      <c r="GH73" s="469"/>
      <c r="GI73" s="469"/>
      <c r="GJ73" s="469"/>
      <c r="GK73" s="469"/>
      <c r="GL73" s="469">
        <v>117.7653524656411</v>
      </c>
      <c r="GM73" s="458"/>
      <c r="GN73" s="469"/>
      <c r="GO73" s="469"/>
      <c r="GP73" s="468"/>
    </row>
    <row r="74" spans="1:198" x14ac:dyDescent="0.25">
      <c r="A74" s="465" t="s">
        <v>1609</v>
      </c>
      <c r="B74" s="461"/>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c r="AB74" s="461"/>
      <c r="AC74" s="461"/>
      <c r="AD74" s="461"/>
      <c r="AE74" s="461"/>
      <c r="AF74" s="461"/>
      <c r="AG74" s="461"/>
      <c r="AH74" s="461"/>
      <c r="AI74" s="461"/>
      <c r="AJ74" s="461"/>
      <c r="AK74" s="461"/>
      <c r="AL74" s="461"/>
      <c r="AM74" s="461"/>
      <c r="AN74" s="461"/>
      <c r="AO74" s="461"/>
      <c r="AP74" s="461"/>
      <c r="AQ74" s="461"/>
      <c r="AR74" s="461"/>
      <c r="AS74" s="461"/>
      <c r="AT74" s="461"/>
      <c r="AU74" s="461"/>
      <c r="AV74" s="461"/>
      <c r="AW74" s="461"/>
      <c r="AX74" s="461"/>
      <c r="AY74" s="461"/>
      <c r="AZ74" s="461"/>
      <c r="BA74" s="461"/>
      <c r="BB74" s="461"/>
      <c r="BC74" s="461"/>
      <c r="BD74" s="461"/>
      <c r="BE74" s="461"/>
      <c r="BF74" s="461"/>
      <c r="BG74" s="461"/>
      <c r="BH74" s="461"/>
      <c r="BI74" s="461"/>
      <c r="BJ74" s="461"/>
      <c r="BK74" s="461"/>
      <c r="BL74" s="461"/>
      <c r="BM74" s="461"/>
      <c r="BN74" s="461"/>
      <c r="BO74" s="461"/>
      <c r="BP74" s="461"/>
      <c r="BQ74" s="461"/>
      <c r="BR74" s="461"/>
      <c r="BS74" s="461"/>
      <c r="BT74" s="461"/>
      <c r="BU74" s="461"/>
      <c r="BV74" s="461"/>
      <c r="BW74" s="461"/>
      <c r="BX74" s="461"/>
      <c r="BY74" s="461"/>
      <c r="BZ74" s="461"/>
      <c r="CA74" s="461"/>
      <c r="CB74" s="461"/>
      <c r="CC74" s="461"/>
      <c r="CD74" s="461"/>
      <c r="CE74" s="461"/>
      <c r="CF74" s="461"/>
      <c r="CG74" s="461"/>
      <c r="CH74" s="461"/>
      <c r="CI74" s="461"/>
      <c r="CJ74" s="461"/>
      <c r="CK74" s="461"/>
      <c r="CL74" s="461"/>
      <c r="CM74" s="461"/>
      <c r="CN74" s="461"/>
      <c r="CO74" s="461"/>
      <c r="CP74" s="461"/>
      <c r="CQ74" s="461"/>
      <c r="CR74" s="461"/>
      <c r="CS74" s="461"/>
      <c r="CT74" s="461"/>
      <c r="CU74" s="461"/>
      <c r="CV74" s="461"/>
      <c r="CW74" s="461"/>
      <c r="CX74" s="461"/>
      <c r="CY74" s="461"/>
      <c r="CZ74" s="461"/>
      <c r="DA74" s="461"/>
      <c r="DB74" s="461"/>
      <c r="DC74" s="461"/>
      <c r="DD74" s="461"/>
      <c r="DE74" s="461"/>
      <c r="DF74" s="461"/>
      <c r="DG74" s="461"/>
      <c r="DH74" s="461"/>
      <c r="DI74" s="461"/>
      <c r="DJ74" s="461"/>
      <c r="DK74" s="461"/>
      <c r="DL74" s="461"/>
      <c r="DM74" s="461"/>
      <c r="DN74" s="461"/>
      <c r="DO74" s="461"/>
      <c r="DP74" s="461"/>
      <c r="DQ74" s="461"/>
      <c r="DR74" s="461"/>
      <c r="DS74" s="461"/>
      <c r="DT74" s="461"/>
      <c r="DU74" s="461"/>
      <c r="DV74" s="461"/>
      <c r="DW74" s="461"/>
      <c r="DX74" s="461"/>
      <c r="DY74" s="461"/>
      <c r="DZ74" s="461"/>
      <c r="EA74" s="461"/>
      <c r="EB74" s="461"/>
      <c r="EC74" s="461"/>
      <c r="ED74" s="461"/>
      <c r="EE74" s="461"/>
      <c r="EF74" s="461"/>
      <c r="EG74" s="461"/>
      <c r="EH74" s="461"/>
      <c r="EI74" s="461"/>
      <c r="EJ74" s="461"/>
      <c r="EK74" s="461"/>
      <c r="EL74" s="461"/>
      <c r="EM74" s="461"/>
      <c r="EN74" s="461"/>
      <c r="EO74" s="461"/>
      <c r="EP74" s="461"/>
      <c r="EQ74" s="461"/>
      <c r="ER74" s="461"/>
      <c r="ES74" s="461"/>
      <c r="ET74" s="461">
        <v>128.3263357758139</v>
      </c>
      <c r="EU74" s="461"/>
      <c r="EV74" s="461"/>
      <c r="EW74" s="461"/>
      <c r="EX74" s="461"/>
      <c r="EY74" s="461"/>
      <c r="EZ74" s="461"/>
      <c r="FA74" s="461"/>
      <c r="FB74" s="461"/>
      <c r="FC74" s="461"/>
      <c r="FD74" s="461"/>
      <c r="FE74" s="461"/>
      <c r="FF74" s="461"/>
      <c r="FG74" s="461"/>
      <c r="FH74" s="461"/>
      <c r="FI74" s="461"/>
      <c r="FJ74" s="461"/>
      <c r="FK74" s="461"/>
      <c r="FL74" s="461"/>
      <c r="FM74" s="461"/>
      <c r="FN74" s="461"/>
      <c r="FO74" s="461"/>
      <c r="FP74" s="461"/>
      <c r="FQ74" s="461"/>
      <c r="FR74" s="461"/>
      <c r="FS74" s="461"/>
      <c r="FT74" s="461"/>
      <c r="FU74" s="461"/>
      <c r="FV74" s="461"/>
      <c r="FW74" s="461"/>
      <c r="FX74" s="461"/>
      <c r="FY74" s="461"/>
      <c r="FZ74" s="461"/>
      <c r="GA74" s="461"/>
      <c r="GB74" s="461"/>
      <c r="GC74" s="461"/>
      <c r="GD74" s="469"/>
      <c r="GE74" s="469"/>
      <c r="GF74" s="469"/>
      <c r="GG74" s="469"/>
      <c r="GH74" s="469"/>
      <c r="GI74" s="469"/>
      <c r="GJ74" s="469"/>
      <c r="GK74" s="469"/>
      <c r="GL74" s="469">
        <v>128.3263357758139</v>
      </c>
      <c r="GM74" s="458"/>
      <c r="GN74" s="469"/>
      <c r="GO74" s="469"/>
      <c r="GP74" s="468"/>
    </row>
    <row r="75" spans="1:198" x14ac:dyDescent="0.25">
      <c r="A75" s="465" t="s">
        <v>1608</v>
      </c>
      <c r="B75" s="461"/>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c r="AB75" s="461"/>
      <c r="AC75" s="461"/>
      <c r="AD75" s="461"/>
      <c r="AE75" s="461"/>
      <c r="AF75" s="461"/>
      <c r="AG75" s="461"/>
      <c r="AH75" s="461"/>
      <c r="AI75" s="461"/>
      <c r="AJ75" s="461"/>
      <c r="AK75" s="461"/>
      <c r="AL75" s="461"/>
      <c r="AM75" s="461"/>
      <c r="AN75" s="461"/>
      <c r="AO75" s="461"/>
      <c r="AP75" s="461"/>
      <c r="AQ75" s="461"/>
      <c r="AR75" s="461"/>
      <c r="AS75" s="461"/>
      <c r="AT75" s="461"/>
      <c r="AU75" s="461"/>
      <c r="AV75" s="461"/>
      <c r="AW75" s="461"/>
      <c r="AX75" s="461"/>
      <c r="AY75" s="461"/>
      <c r="AZ75" s="461"/>
      <c r="BA75" s="461"/>
      <c r="BB75" s="461"/>
      <c r="BC75" s="461"/>
      <c r="BD75" s="461"/>
      <c r="BE75" s="461"/>
      <c r="BF75" s="461"/>
      <c r="BG75" s="461"/>
      <c r="BH75" s="461"/>
      <c r="BI75" s="461"/>
      <c r="BJ75" s="461"/>
      <c r="BK75" s="461"/>
      <c r="BL75" s="461"/>
      <c r="BM75" s="461"/>
      <c r="BN75" s="461"/>
      <c r="BO75" s="461"/>
      <c r="BP75" s="461"/>
      <c r="BQ75" s="461"/>
      <c r="BR75" s="461"/>
      <c r="BS75" s="461"/>
      <c r="BT75" s="461"/>
      <c r="BU75" s="461"/>
      <c r="BV75" s="461"/>
      <c r="BW75" s="461"/>
      <c r="BX75" s="461"/>
      <c r="BY75" s="461"/>
      <c r="BZ75" s="461"/>
      <c r="CA75" s="461"/>
      <c r="CB75" s="461"/>
      <c r="CC75" s="461"/>
      <c r="CD75" s="461"/>
      <c r="CE75" s="461"/>
      <c r="CF75" s="461"/>
      <c r="CG75" s="461"/>
      <c r="CH75" s="461"/>
      <c r="CI75" s="461"/>
      <c r="CJ75" s="461"/>
      <c r="CK75" s="461"/>
      <c r="CL75" s="461"/>
      <c r="CM75" s="461"/>
      <c r="CN75" s="461"/>
      <c r="CO75" s="461"/>
      <c r="CP75" s="461"/>
      <c r="CQ75" s="461"/>
      <c r="CR75" s="461"/>
      <c r="CS75" s="461"/>
      <c r="CT75" s="461"/>
      <c r="CU75" s="461"/>
      <c r="CV75" s="461"/>
      <c r="CW75" s="461"/>
      <c r="CX75" s="461"/>
      <c r="CY75" s="461"/>
      <c r="CZ75" s="461"/>
      <c r="DA75" s="461"/>
      <c r="DB75" s="461"/>
      <c r="DC75" s="461"/>
      <c r="DD75" s="461"/>
      <c r="DE75" s="461"/>
      <c r="DF75" s="461"/>
      <c r="DG75" s="461"/>
      <c r="DH75" s="461"/>
      <c r="DI75" s="461"/>
      <c r="DJ75" s="461"/>
      <c r="DK75" s="461"/>
      <c r="DL75" s="461"/>
      <c r="DM75" s="461"/>
      <c r="DN75" s="461"/>
      <c r="DO75" s="461"/>
      <c r="DP75" s="461"/>
      <c r="DQ75" s="461"/>
      <c r="DR75" s="461"/>
      <c r="DS75" s="461"/>
      <c r="DT75" s="461"/>
      <c r="DU75" s="461"/>
      <c r="DV75" s="461"/>
      <c r="DW75" s="461"/>
      <c r="DX75" s="461"/>
      <c r="DY75" s="461"/>
      <c r="DZ75" s="461"/>
      <c r="EA75" s="461"/>
      <c r="EB75" s="461"/>
      <c r="EC75" s="461"/>
      <c r="ED75" s="461"/>
      <c r="EE75" s="461"/>
      <c r="EF75" s="461"/>
      <c r="EG75" s="461"/>
      <c r="EH75" s="461"/>
      <c r="EI75" s="461"/>
      <c r="EJ75" s="461"/>
      <c r="EK75" s="461"/>
      <c r="EL75" s="461"/>
      <c r="EM75" s="461"/>
      <c r="EN75" s="461"/>
      <c r="EO75" s="461"/>
      <c r="EP75" s="461"/>
      <c r="EQ75" s="461"/>
      <c r="ER75" s="461"/>
      <c r="ES75" s="461"/>
      <c r="ET75" s="461"/>
      <c r="EU75" s="461">
        <v>631.19066796521372</v>
      </c>
      <c r="EV75" s="461"/>
      <c r="EW75" s="461"/>
      <c r="EX75" s="461"/>
      <c r="EY75" s="461"/>
      <c r="EZ75" s="461"/>
      <c r="FA75" s="461"/>
      <c r="FB75" s="461"/>
      <c r="FC75" s="461"/>
      <c r="FD75" s="461"/>
      <c r="FE75" s="461"/>
      <c r="FF75" s="461"/>
      <c r="FG75" s="461"/>
      <c r="FH75" s="461"/>
      <c r="FI75" s="461"/>
      <c r="FJ75" s="461"/>
      <c r="FK75" s="461"/>
      <c r="FL75" s="461"/>
      <c r="FM75" s="461"/>
      <c r="FN75" s="461"/>
      <c r="FO75" s="461"/>
      <c r="FP75" s="461"/>
      <c r="FQ75" s="461"/>
      <c r="FR75" s="461"/>
      <c r="FS75" s="461"/>
      <c r="FT75" s="461"/>
      <c r="FU75" s="461"/>
      <c r="FV75" s="461"/>
      <c r="FW75" s="461"/>
      <c r="FX75" s="461"/>
      <c r="FY75" s="461"/>
      <c r="FZ75" s="461"/>
      <c r="GA75" s="461"/>
      <c r="GB75" s="461"/>
      <c r="GC75" s="461"/>
      <c r="GD75" s="469"/>
      <c r="GE75" s="469"/>
      <c r="GF75" s="469"/>
      <c r="GG75" s="469"/>
      <c r="GH75" s="469"/>
      <c r="GI75" s="469"/>
      <c r="GJ75" s="469"/>
      <c r="GK75" s="469"/>
      <c r="GL75" s="469">
        <v>631.19066796521372</v>
      </c>
      <c r="GM75" s="458"/>
      <c r="GN75" s="469"/>
      <c r="GO75" s="469"/>
      <c r="GP75" s="468"/>
    </row>
    <row r="76" spans="1:198" x14ac:dyDescent="0.25">
      <c r="A76" s="465" t="s">
        <v>2288</v>
      </c>
      <c r="B76" s="461"/>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c r="AB76" s="461"/>
      <c r="AC76" s="461"/>
      <c r="AD76" s="461"/>
      <c r="AE76" s="461"/>
      <c r="AF76" s="461"/>
      <c r="AG76" s="461"/>
      <c r="AH76" s="461"/>
      <c r="AI76" s="461"/>
      <c r="AJ76" s="461"/>
      <c r="AK76" s="461"/>
      <c r="AL76" s="461"/>
      <c r="AM76" s="461"/>
      <c r="AN76" s="461"/>
      <c r="AO76" s="461"/>
      <c r="AP76" s="461"/>
      <c r="AQ76" s="461"/>
      <c r="AR76" s="461"/>
      <c r="AS76" s="461"/>
      <c r="AT76" s="461"/>
      <c r="AU76" s="461"/>
      <c r="AV76" s="461"/>
      <c r="AW76" s="461"/>
      <c r="AX76" s="461"/>
      <c r="AY76" s="461"/>
      <c r="AZ76" s="461"/>
      <c r="BA76" s="461"/>
      <c r="BB76" s="461"/>
      <c r="BC76" s="461"/>
      <c r="BD76" s="461"/>
      <c r="BE76" s="461"/>
      <c r="BF76" s="461"/>
      <c r="BG76" s="461"/>
      <c r="BH76" s="461"/>
      <c r="BI76" s="461"/>
      <c r="BJ76" s="461"/>
      <c r="BK76" s="461"/>
      <c r="BL76" s="461"/>
      <c r="BM76" s="461"/>
      <c r="BN76" s="461"/>
      <c r="BO76" s="461"/>
      <c r="BP76" s="461"/>
      <c r="BQ76" s="461"/>
      <c r="BR76" s="461"/>
      <c r="BS76" s="461"/>
      <c r="BT76" s="461"/>
      <c r="BU76" s="461"/>
      <c r="BV76" s="461"/>
      <c r="BW76" s="461"/>
      <c r="BX76" s="461"/>
      <c r="BY76" s="461"/>
      <c r="BZ76" s="461"/>
      <c r="CA76" s="461"/>
      <c r="CB76" s="461"/>
      <c r="CC76" s="461"/>
      <c r="CD76" s="461"/>
      <c r="CE76" s="461"/>
      <c r="CF76" s="461"/>
      <c r="CG76" s="461"/>
      <c r="CH76" s="461"/>
      <c r="CI76" s="461"/>
      <c r="CJ76" s="461"/>
      <c r="CK76" s="461"/>
      <c r="CL76" s="461"/>
      <c r="CM76" s="461"/>
      <c r="CN76" s="461"/>
      <c r="CO76" s="461"/>
      <c r="CP76" s="461"/>
      <c r="CQ76" s="461"/>
      <c r="CR76" s="461"/>
      <c r="CS76" s="461"/>
      <c r="CT76" s="461"/>
      <c r="CU76" s="461"/>
      <c r="CV76" s="461"/>
      <c r="CW76" s="461"/>
      <c r="CX76" s="461"/>
      <c r="CY76" s="461"/>
      <c r="CZ76" s="461"/>
      <c r="DA76" s="461"/>
      <c r="DB76" s="461"/>
      <c r="DC76" s="461"/>
      <c r="DD76" s="461"/>
      <c r="DE76" s="461"/>
      <c r="DF76" s="461"/>
      <c r="DG76" s="461"/>
      <c r="DH76" s="461"/>
      <c r="DI76" s="461"/>
      <c r="DJ76" s="461"/>
      <c r="DK76" s="461"/>
      <c r="DL76" s="461"/>
      <c r="DM76" s="461"/>
      <c r="DN76" s="461"/>
      <c r="DO76" s="461"/>
      <c r="DP76" s="461"/>
      <c r="DQ76" s="461"/>
      <c r="DR76" s="461"/>
      <c r="DS76" s="461"/>
      <c r="DT76" s="461"/>
      <c r="DU76" s="461"/>
      <c r="DV76" s="461"/>
      <c r="DW76" s="461"/>
      <c r="DX76" s="461"/>
      <c r="DY76" s="461"/>
      <c r="DZ76" s="461"/>
      <c r="EA76" s="461"/>
      <c r="EB76" s="461"/>
      <c r="EC76" s="461"/>
      <c r="ED76" s="461"/>
      <c r="EE76" s="461"/>
      <c r="EF76" s="461"/>
      <c r="EG76" s="461"/>
      <c r="EH76" s="461"/>
      <c r="EI76" s="461"/>
      <c r="EJ76" s="461"/>
      <c r="EK76" s="461"/>
      <c r="EL76" s="461"/>
      <c r="EM76" s="461"/>
      <c r="EN76" s="461"/>
      <c r="EO76" s="461"/>
      <c r="EP76" s="461"/>
      <c r="EQ76" s="461"/>
      <c r="ER76" s="461"/>
      <c r="ES76" s="461"/>
      <c r="ET76" s="461"/>
      <c r="EU76" s="461"/>
      <c r="EV76" s="461">
        <v>35.446993764922546</v>
      </c>
      <c r="EW76" s="461"/>
      <c r="EX76" s="461"/>
      <c r="EY76" s="461"/>
      <c r="EZ76" s="461"/>
      <c r="FA76" s="461"/>
      <c r="FB76" s="461"/>
      <c r="FC76" s="461"/>
      <c r="FD76" s="461"/>
      <c r="FE76" s="461"/>
      <c r="FF76" s="461"/>
      <c r="FG76" s="461"/>
      <c r="FH76" s="461"/>
      <c r="FI76" s="461"/>
      <c r="FJ76" s="461"/>
      <c r="FK76" s="461"/>
      <c r="FL76" s="461"/>
      <c r="FM76" s="461"/>
      <c r="FN76" s="461"/>
      <c r="FO76" s="461"/>
      <c r="FP76" s="461"/>
      <c r="FQ76" s="461"/>
      <c r="FR76" s="461"/>
      <c r="FS76" s="461"/>
      <c r="FT76" s="461"/>
      <c r="FU76" s="461"/>
      <c r="FV76" s="461"/>
      <c r="FW76" s="461"/>
      <c r="FX76" s="461"/>
      <c r="FY76" s="461"/>
      <c r="FZ76" s="461"/>
      <c r="GA76" s="461"/>
      <c r="GB76" s="461"/>
      <c r="GC76" s="461"/>
      <c r="GD76" s="469"/>
      <c r="GE76" s="469"/>
      <c r="GF76" s="469"/>
      <c r="GG76" s="469"/>
      <c r="GH76" s="469"/>
      <c r="GI76" s="469"/>
      <c r="GJ76" s="469"/>
      <c r="GK76" s="469"/>
      <c r="GL76" s="469">
        <v>35.446993764922546</v>
      </c>
      <c r="GM76" s="458"/>
      <c r="GN76" s="469"/>
      <c r="GO76" s="469"/>
      <c r="GP76" s="468"/>
    </row>
    <row r="77" spans="1:198" x14ac:dyDescent="0.25">
      <c r="A77" s="465" t="s">
        <v>2289</v>
      </c>
      <c r="B77" s="461"/>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61"/>
      <c r="AG77" s="461"/>
      <c r="AH77" s="461"/>
      <c r="AI77" s="461"/>
      <c r="AJ77" s="461"/>
      <c r="AK77" s="461"/>
      <c r="AL77" s="461"/>
      <c r="AM77" s="461"/>
      <c r="AN77" s="461"/>
      <c r="AO77" s="461"/>
      <c r="AP77" s="461"/>
      <c r="AQ77" s="461"/>
      <c r="AR77" s="461"/>
      <c r="AS77" s="461"/>
      <c r="AT77" s="461"/>
      <c r="AU77" s="461"/>
      <c r="AV77" s="461"/>
      <c r="AW77" s="461"/>
      <c r="AX77" s="461"/>
      <c r="AY77" s="461"/>
      <c r="AZ77" s="461"/>
      <c r="BA77" s="461"/>
      <c r="BB77" s="461"/>
      <c r="BC77" s="461"/>
      <c r="BD77" s="461"/>
      <c r="BE77" s="461"/>
      <c r="BF77" s="461"/>
      <c r="BG77" s="461"/>
      <c r="BH77" s="461"/>
      <c r="BI77" s="461"/>
      <c r="BJ77" s="461"/>
      <c r="BK77" s="461"/>
      <c r="BL77" s="461"/>
      <c r="BM77" s="461"/>
      <c r="BN77" s="461"/>
      <c r="BO77" s="461"/>
      <c r="BP77" s="461"/>
      <c r="BQ77" s="461"/>
      <c r="BR77" s="461"/>
      <c r="BS77" s="461"/>
      <c r="BT77" s="461"/>
      <c r="BU77" s="461"/>
      <c r="BV77" s="461"/>
      <c r="BW77" s="461"/>
      <c r="BX77" s="461"/>
      <c r="BY77" s="461"/>
      <c r="BZ77" s="461"/>
      <c r="CA77" s="461"/>
      <c r="CB77" s="461"/>
      <c r="CC77" s="461"/>
      <c r="CD77" s="461"/>
      <c r="CE77" s="461"/>
      <c r="CF77" s="461"/>
      <c r="CG77" s="461"/>
      <c r="CH77" s="461"/>
      <c r="CI77" s="461"/>
      <c r="CJ77" s="461"/>
      <c r="CK77" s="461"/>
      <c r="CL77" s="461"/>
      <c r="CM77" s="461"/>
      <c r="CN77" s="461"/>
      <c r="CO77" s="461"/>
      <c r="CP77" s="461"/>
      <c r="CQ77" s="461"/>
      <c r="CR77" s="461"/>
      <c r="CS77" s="461"/>
      <c r="CT77" s="461"/>
      <c r="CU77" s="461"/>
      <c r="CV77" s="461"/>
      <c r="CW77" s="461"/>
      <c r="CX77" s="461"/>
      <c r="CY77" s="461"/>
      <c r="CZ77" s="461"/>
      <c r="DA77" s="461"/>
      <c r="DB77" s="461"/>
      <c r="DC77" s="461"/>
      <c r="DD77" s="461"/>
      <c r="DE77" s="461"/>
      <c r="DF77" s="461"/>
      <c r="DG77" s="461"/>
      <c r="DH77" s="461"/>
      <c r="DI77" s="461"/>
      <c r="DJ77" s="461"/>
      <c r="DK77" s="461"/>
      <c r="DL77" s="461"/>
      <c r="DM77" s="461"/>
      <c r="DN77" s="461"/>
      <c r="DO77" s="461"/>
      <c r="DP77" s="461"/>
      <c r="DQ77" s="461"/>
      <c r="DR77" s="461"/>
      <c r="DS77" s="461"/>
      <c r="DT77" s="461"/>
      <c r="DU77" s="461"/>
      <c r="DV77" s="461"/>
      <c r="DW77" s="461"/>
      <c r="DX77" s="461"/>
      <c r="DY77" s="461"/>
      <c r="DZ77" s="461"/>
      <c r="EA77" s="461"/>
      <c r="EB77" s="461"/>
      <c r="EC77" s="461"/>
      <c r="ED77" s="461"/>
      <c r="EE77" s="461"/>
      <c r="EF77" s="461"/>
      <c r="EG77" s="461"/>
      <c r="EH77" s="461"/>
      <c r="EI77" s="461"/>
      <c r="EJ77" s="461"/>
      <c r="EK77" s="461"/>
      <c r="EL77" s="461"/>
      <c r="EM77" s="461"/>
      <c r="EN77" s="461"/>
      <c r="EO77" s="461"/>
      <c r="EP77" s="461"/>
      <c r="EQ77" s="461"/>
      <c r="ER77" s="461"/>
      <c r="ES77" s="461"/>
      <c r="ET77" s="461"/>
      <c r="EU77" s="461"/>
      <c r="EV77" s="461"/>
      <c r="EW77" s="461">
        <v>30.406241937391851</v>
      </c>
      <c r="EX77" s="461"/>
      <c r="EY77" s="461"/>
      <c r="EZ77" s="461"/>
      <c r="FA77" s="461"/>
      <c r="FB77" s="461"/>
      <c r="FC77" s="461"/>
      <c r="FD77" s="461"/>
      <c r="FE77" s="461"/>
      <c r="FF77" s="461"/>
      <c r="FG77" s="461"/>
      <c r="FH77" s="461"/>
      <c r="FI77" s="461"/>
      <c r="FJ77" s="461"/>
      <c r="FK77" s="461"/>
      <c r="FL77" s="461"/>
      <c r="FM77" s="461"/>
      <c r="FN77" s="461"/>
      <c r="FO77" s="461"/>
      <c r="FP77" s="461"/>
      <c r="FQ77" s="461"/>
      <c r="FR77" s="461"/>
      <c r="FS77" s="461"/>
      <c r="FT77" s="461"/>
      <c r="FU77" s="461"/>
      <c r="FV77" s="461"/>
      <c r="FW77" s="461"/>
      <c r="FX77" s="461"/>
      <c r="FY77" s="461"/>
      <c r="FZ77" s="461"/>
      <c r="GA77" s="461"/>
      <c r="GB77" s="461"/>
      <c r="GC77" s="461"/>
      <c r="GD77" s="469"/>
      <c r="GE77" s="469"/>
      <c r="GF77" s="469"/>
      <c r="GG77" s="469"/>
      <c r="GH77" s="469"/>
      <c r="GI77" s="469"/>
      <c r="GJ77" s="469"/>
      <c r="GK77" s="469"/>
      <c r="GL77" s="469">
        <v>30.406241937391851</v>
      </c>
      <c r="GM77" s="458"/>
      <c r="GN77" s="469"/>
      <c r="GO77" s="469"/>
      <c r="GP77" s="468"/>
    </row>
    <row r="78" spans="1:198" x14ac:dyDescent="0.25">
      <c r="A78" s="465" t="s">
        <v>2290</v>
      </c>
      <c r="B78" s="461"/>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61"/>
      <c r="AG78" s="461"/>
      <c r="AH78" s="461"/>
      <c r="AI78" s="461"/>
      <c r="AJ78" s="461"/>
      <c r="AK78" s="461"/>
      <c r="AL78" s="461"/>
      <c r="AM78" s="461"/>
      <c r="AN78" s="461"/>
      <c r="AO78" s="461"/>
      <c r="AP78" s="461"/>
      <c r="AQ78" s="461"/>
      <c r="AR78" s="461"/>
      <c r="AS78" s="461"/>
      <c r="AT78" s="461"/>
      <c r="AU78" s="461"/>
      <c r="AV78" s="461"/>
      <c r="AW78" s="461"/>
      <c r="AX78" s="461"/>
      <c r="AY78" s="461"/>
      <c r="AZ78" s="461"/>
      <c r="BA78" s="461"/>
      <c r="BB78" s="461"/>
      <c r="BC78" s="461"/>
      <c r="BD78" s="461"/>
      <c r="BE78" s="461"/>
      <c r="BF78" s="461"/>
      <c r="BG78" s="461"/>
      <c r="BH78" s="461"/>
      <c r="BI78" s="461"/>
      <c r="BJ78" s="461"/>
      <c r="BK78" s="461"/>
      <c r="BL78" s="461"/>
      <c r="BM78" s="461"/>
      <c r="BN78" s="461"/>
      <c r="BO78" s="461"/>
      <c r="BP78" s="461"/>
      <c r="BQ78" s="461"/>
      <c r="BR78" s="461"/>
      <c r="BS78" s="461"/>
      <c r="BT78" s="461"/>
      <c r="BU78" s="461"/>
      <c r="BV78" s="461"/>
      <c r="BW78" s="461"/>
      <c r="BX78" s="461"/>
      <c r="BY78" s="461"/>
      <c r="BZ78" s="461"/>
      <c r="CA78" s="461"/>
      <c r="CB78" s="461"/>
      <c r="CC78" s="461"/>
      <c r="CD78" s="461"/>
      <c r="CE78" s="461"/>
      <c r="CF78" s="461"/>
      <c r="CG78" s="461"/>
      <c r="CH78" s="461"/>
      <c r="CI78" s="461"/>
      <c r="CJ78" s="461"/>
      <c r="CK78" s="461"/>
      <c r="CL78" s="461"/>
      <c r="CM78" s="461"/>
      <c r="CN78" s="461"/>
      <c r="CO78" s="461"/>
      <c r="CP78" s="461"/>
      <c r="CQ78" s="461"/>
      <c r="CR78" s="461"/>
      <c r="CS78" s="461"/>
      <c r="CT78" s="461"/>
      <c r="CU78" s="461"/>
      <c r="CV78" s="461"/>
      <c r="CW78" s="461"/>
      <c r="CX78" s="461"/>
      <c r="CY78" s="461"/>
      <c r="CZ78" s="461"/>
      <c r="DA78" s="461"/>
      <c r="DB78" s="461"/>
      <c r="DC78" s="461"/>
      <c r="DD78" s="461"/>
      <c r="DE78" s="461"/>
      <c r="DF78" s="461"/>
      <c r="DG78" s="461"/>
      <c r="DH78" s="461"/>
      <c r="DI78" s="461"/>
      <c r="DJ78" s="461"/>
      <c r="DK78" s="461"/>
      <c r="DL78" s="461"/>
      <c r="DM78" s="461"/>
      <c r="DN78" s="461"/>
      <c r="DO78" s="461"/>
      <c r="DP78" s="461"/>
      <c r="DQ78" s="461"/>
      <c r="DR78" s="461"/>
      <c r="DS78" s="461"/>
      <c r="DT78" s="461"/>
      <c r="DU78" s="461"/>
      <c r="DV78" s="461"/>
      <c r="DW78" s="461"/>
      <c r="DX78" s="461"/>
      <c r="DY78" s="461"/>
      <c r="DZ78" s="461"/>
      <c r="EA78" s="461"/>
      <c r="EB78" s="461"/>
      <c r="EC78" s="461"/>
      <c r="ED78" s="461"/>
      <c r="EE78" s="461"/>
      <c r="EF78" s="461"/>
      <c r="EG78" s="461"/>
      <c r="EH78" s="461"/>
      <c r="EI78" s="461"/>
      <c r="EJ78" s="461"/>
      <c r="EK78" s="461"/>
      <c r="EL78" s="461"/>
      <c r="EM78" s="461"/>
      <c r="EN78" s="461"/>
      <c r="EO78" s="461"/>
      <c r="EP78" s="461"/>
      <c r="EQ78" s="461"/>
      <c r="ER78" s="461"/>
      <c r="ES78" s="461"/>
      <c r="ET78" s="461"/>
      <c r="EU78" s="461"/>
      <c r="EV78" s="461"/>
      <c r="EW78" s="461"/>
      <c r="EX78" s="461">
        <v>117.3063430158074</v>
      </c>
      <c r="EY78" s="461"/>
      <c r="EZ78" s="461"/>
      <c r="FA78" s="461"/>
      <c r="FB78" s="461"/>
      <c r="FC78" s="461"/>
      <c r="FD78" s="461"/>
      <c r="FE78" s="461"/>
      <c r="FF78" s="461"/>
      <c r="FG78" s="461"/>
      <c r="FH78" s="461"/>
      <c r="FI78" s="461"/>
      <c r="FJ78" s="461"/>
      <c r="FK78" s="461"/>
      <c r="FL78" s="461"/>
      <c r="FM78" s="461"/>
      <c r="FN78" s="461"/>
      <c r="FO78" s="461"/>
      <c r="FP78" s="461"/>
      <c r="FQ78" s="461"/>
      <c r="FR78" s="461"/>
      <c r="FS78" s="461"/>
      <c r="FT78" s="461"/>
      <c r="FU78" s="461"/>
      <c r="FV78" s="461"/>
      <c r="FW78" s="461"/>
      <c r="FX78" s="461"/>
      <c r="FY78" s="461"/>
      <c r="FZ78" s="461"/>
      <c r="GA78" s="461"/>
      <c r="GB78" s="461"/>
      <c r="GC78" s="461"/>
      <c r="GD78" s="469"/>
      <c r="GE78" s="469"/>
      <c r="GF78" s="469"/>
      <c r="GG78" s="469"/>
      <c r="GH78" s="469"/>
      <c r="GI78" s="469"/>
      <c r="GJ78" s="469"/>
      <c r="GK78" s="469"/>
      <c r="GL78" s="469">
        <v>117.3063430158074</v>
      </c>
      <c r="GM78" s="458"/>
      <c r="GN78" s="469"/>
      <c r="GO78" s="469"/>
      <c r="GP78" s="468"/>
    </row>
    <row r="79" spans="1:198" x14ac:dyDescent="0.25">
      <c r="A79" s="465" t="s">
        <v>1610</v>
      </c>
      <c r="B79" s="461"/>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c r="AB79" s="461"/>
      <c r="AC79" s="461"/>
      <c r="AD79" s="461"/>
      <c r="AE79" s="461"/>
      <c r="AF79" s="461"/>
      <c r="AG79" s="461"/>
      <c r="AH79" s="461"/>
      <c r="AI79" s="461"/>
      <c r="AJ79" s="461"/>
      <c r="AK79" s="461"/>
      <c r="AL79" s="461"/>
      <c r="AM79" s="461"/>
      <c r="AN79" s="461"/>
      <c r="AO79" s="461"/>
      <c r="AP79" s="461"/>
      <c r="AQ79" s="461"/>
      <c r="AR79" s="461"/>
      <c r="AS79" s="461"/>
      <c r="AT79" s="461"/>
      <c r="AU79" s="461"/>
      <c r="AV79" s="461"/>
      <c r="AW79" s="461"/>
      <c r="AX79" s="461"/>
      <c r="AY79" s="461"/>
      <c r="AZ79" s="461"/>
      <c r="BA79" s="461"/>
      <c r="BB79" s="461"/>
      <c r="BC79" s="461"/>
      <c r="BD79" s="461"/>
      <c r="BE79" s="461"/>
      <c r="BF79" s="461"/>
      <c r="BG79" s="461"/>
      <c r="BH79" s="461"/>
      <c r="BI79" s="461"/>
      <c r="BJ79" s="461"/>
      <c r="BK79" s="461"/>
      <c r="BL79" s="461"/>
      <c r="BM79" s="461"/>
      <c r="BN79" s="461"/>
      <c r="BO79" s="461"/>
      <c r="BP79" s="461"/>
      <c r="BQ79" s="461"/>
      <c r="BR79" s="461"/>
      <c r="BS79" s="461"/>
      <c r="BT79" s="461"/>
      <c r="BU79" s="461"/>
      <c r="BV79" s="461"/>
      <c r="BW79" s="461"/>
      <c r="BX79" s="461"/>
      <c r="BY79" s="461"/>
      <c r="BZ79" s="461"/>
      <c r="CA79" s="461"/>
      <c r="CB79" s="461"/>
      <c r="CC79" s="461"/>
      <c r="CD79" s="461"/>
      <c r="CE79" s="461"/>
      <c r="CF79" s="461"/>
      <c r="CG79" s="461"/>
      <c r="CH79" s="461"/>
      <c r="CI79" s="461"/>
      <c r="CJ79" s="461"/>
      <c r="CK79" s="461"/>
      <c r="CL79" s="461"/>
      <c r="CM79" s="461"/>
      <c r="CN79" s="461"/>
      <c r="CO79" s="461"/>
      <c r="CP79" s="461"/>
      <c r="CQ79" s="461"/>
      <c r="CR79" s="461"/>
      <c r="CS79" s="461"/>
      <c r="CT79" s="461"/>
      <c r="CU79" s="461"/>
      <c r="CV79" s="461"/>
      <c r="CW79" s="461"/>
      <c r="CX79" s="461"/>
      <c r="CY79" s="461"/>
      <c r="CZ79" s="461"/>
      <c r="DA79" s="461"/>
      <c r="DB79" s="461"/>
      <c r="DC79" s="461"/>
      <c r="DD79" s="461"/>
      <c r="DE79" s="461"/>
      <c r="DF79" s="461"/>
      <c r="DG79" s="461"/>
      <c r="DH79" s="461"/>
      <c r="DI79" s="461"/>
      <c r="DJ79" s="461"/>
      <c r="DK79" s="461"/>
      <c r="DL79" s="461"/>
      <c r="DM79" s="461"/>
      <c r="DN79" s="461"/>
      <c r="DO79" s="461"/>
      <c r="DP79" s="461"/>
      <c r="DQ79" s="461"/>
      <c r="DR79" s="461"/>
      <c r="DS79" s="461"/>
      <c r="DT79" s="461"/>
      <c r="DU79" s="461"/>
      <c r="DV79" s="461"/>
      <c r="DW79" s="461"/>
      <c r="DX79" s="461"/>
      <c r="DY79" s="461"/>
      <c r="DZ79" s="461"/>
      <c r="EA79" s="461"/>
      <c r="EB79" s="461"/>
      <c r="EC79" s="461"/>
      <c r="ED79" s="461"/>
      <c r="EE79" s="461"/>
      <c r="EF79" s="461"/>
      <c r="EG79" s="461"/>
      <c r="EH79" s="461"/>
      <c r="EI79" s="461"/>
      <c r="EJ79" s="461"/>
      <c r="EK79" s="461"/>
      <c r="EL79" s="461"/>
      <c r="EM79" s="461"/>
      <c r="EN79" s="461"/>
      <c r="EO79" s="461"/>
      <c r="EP79" s="461"/>
      <c r="EQ79" s="461"/>
      <c r="ER79" s="461"/>
      <c r="ES79" s="461"/>
      <c r="ET79" s="461"/>
      <c r="EU79" s="461"/>
      <c r="EV79" s="461"/>
      <c r="EW79" s="461"/>
      <c r="EX79" s="461"/>
      <c r="EY79" s="461">
        <v>112.10386008544702</v>
      </c>
      <c r="EZ79" s="461"/>
      <c r="FA79" s="461"/>
      <c r="FB79" s="461"/>
      <c r="FC79" s="461"/>
      <c r="FD79" s="461"/>
      <c r="FE79" s="461"/>
      <c r="FF79" s="461"/>
      <c r="FG79" s="461"/>
      <c r="FH79" s="461"/>
      <c r="FI79" s="461"/>
      <c r="FJ79" s="461"/>
      <c r="FK79" s="461"/>
      <c r="FL79" s="461"/>
      <c r="FM79" s="461"/>
      <c r="FN79" s="461"/>
      <c r="FO79" s="461"/>
      <c r="FP79" s="461"/>
      <c r="FQ79" s="461"/>
      <c r="FR79" s="461"/>
      <c r="FS79" s="461"/>
      <c r="FT79" s="461"/>
      <c r="FU79" s="461"/>
      <c r="FV79" s="461"/>
      <c r="FW79" s="461"/>
      <c r="FX79" s="461"/>
      <c r="FY79" s="461"/>
      <c r="FZ79" s="461"/>
      <c r="GA79" s="461"/>
      <c r="GB79" s="461"/>
      <c r="GC79" s="461"/>
      <c r="GD79" s="469"/>
      <c r="GE79" s="469"/>
      <c r="GF79" s="469"/>
      <c r="GG79" s="469"/>
      <c r="GH79" s="469"/>
      <c r="GI79" s="469"/>
      <c r="GJ79" s="469"/>
      <c r="GK79" s="469"/>
      <c r="GL79" s="469">
        <v>112.10386008544702</v>
      </c>
      <c r="GM79" s="458"/>
      <c r="GN79" s="469"/>
      <c r="GO79" s="469"/>
      <c r="GP79" s="468"/>
    </row>
    <row r="80" spans="1:198" x14ac:dyDescent="0.25">
      <c r="A80" s="465" t="s">
        <v>1607</v>
      </c>
      <c r="B80" s="461"/>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c r="AA80" s="461"/>
      <c r="AB80" s="461"/>
      <c r="AC80" s="461"/>
      <c r="AD80" s="461"/>
      <c r="AE80" s="461"/>
      <c r="AF80" s="461"/>
      <c r="AG80" s="461"/>
      <c r="AH80" s="461"/>
      <c r="AI80" s="461"/>
      <c r="AJ80" s="461"/>
      <c r="AK80" s="461"/>
      <c r="AL80" s="461"/>
      <c r="AM80" s="461"/>
      <c r="AN80" s="461"/>
      <c r="AO80" s="461"/>
      <c r="AP80" s="461"/>
      <c r="AQ80" s="461"/>
      <c r="AR80" s="461"/>
      <c r="AS80" s="461"/>
      <c r="AT80" s="461"/>
      <c r="AU80" s="461"/>
      <c r="AV80" s="461"/>
      <c r="AW80" s="461"/>
      <c r="AX80" s="461"/>
      <c r="AY80" s="461"/>
      <c r="AZ80" s="461"/>
      <c r="BA80" s="461"/>
      <c r="BB80" s="461"/>
      <c r="BC80" s="461"/>
      <c r="BD80" s="461"/>
      <c r="BE80" s="461"/>
      <c r="BF80" s="461"/>
      <c r="BG80" s="461"/>
      <c r="BH80" s="461"/>
      <c r="BI80" s="461"/>
      <c r="BJ80" s="461"/>
      <c r="BK80" s="461"/>
      <c r="BL80" s="461"/>
      <c r="BM80" s="461"/>
      <c r="BN80" s="461"/>
      <c r="BO80" s="461"/>
      <c r="BP80" s="461"/>
      <c r="BQ80" s="461"/>
      <c r="BR80" s="461"/>
      <c r="BS80" s="461"/>
      <c r="BT80" s="461"/>
      <c r="BU80" s="461"/>
      <c r="BV80" s="461"/>
      <c r="BW80" s="461"/>
      <c r="BX80" s="461"/>
      <c r="BY80" s="461"/>
      <c r="BZ80" s="461"/>
      <c r="CA80" s="461"/>
      <c r="CB80" s="461"/>
      <c r="CC80" s="461"/>
      <c r="CD80" s="461"/>
      <c r="CE80" s="461"/>
      <c r="CF80" s="461"/>
      <c r="CG80" s="461"/>
      <c r="CH80" s="461"/>
      <c r="CI80" s="461"/>
      <c r="CJ80" s="461"/>
      <c r="CK80" s="461"/>
      <c r="CL80" s="461"/>
      <c r="CM80" s="461"/>
      <c r="CN80" s="461"/>
      <c r="CO80" s="461"/>
      <c r="CP80" s="461"/>
      <c r="CQ80" s="461"/>
      <c r="CR80" s="461"/>
      <c r="CS80" s="461"/>
      <c r="CT80" s="461"/>
      <c r="CU80" s="461"/>
      <c r="CV80" s="461"/>
      <c r="CW80" s="461"/>
      <c r="CX80" s="461"/>
      <c r="CY80" s="461"/>
      <c r="CZ80" s="461"/>
      <c r="DA80" s="461"/>
      <c r="DB80" s="461"/>
      <c r="DC80" s="461"/>
      <c r="DD80" s="461"/>
      <c r="DE80" s="461"/>
      <c r="DF80" s="461"/>
      <c r="DG80" s="461"/>
      <c r="DH80" s="461"/>
      <c r="DI80" s="461"/>
      <c r="DJ80" s="461"/>
      <c r="DK80" s="461"/>
      <c r="DL80" s="461"/>
      <c r="DM80" s="461"/>
      <c r="DN80" s="461"/>
      <c r="DO80" s="461"/>
      <c r="DP80" s="461"/>
      <c r="DQ80" s="461"/>
      <c r="DR80" s="461"/>
      <c r="DS80" s="461"/>
      <c r="DT80" s="461"/>
      <c r="DU80" s="461"/>
      <c r="DV80" s="461"/>
      <c r="DW80" s="461"/>
      <c r="DX80" s="461"/>
      <c r="DY80" s="461"/>
      <c r="DZ80" s="461"/>
      <c r="EA80" s="461"/>
      <c r="EB80" s="461"/>
      <c r="EC80" s="461"/>
      <c r="ED80" s="461"/>
      <c r="EE80" s="461"/>
      <c r="EF80" s="461"/>
      <c r="EG80" s="461"/>
      <c r="EH80" s="461"/>
      <c r="EI80" s="461"/>
      <c r="EJ80" s="461"/>
      <c r="EK80" s="461"/>
      <c r="EL80" s="461"/>
      <c r="EM80" s="461"/>
      <c r="EN80" s="461"/>
      <c r="EO80" s="461"/>
      <c r="EP80" s="461"/>
      <c r="EQ80" s="461"/>
      <c r="ER80" s="461"/>
      <c r="ES80" s="461"/>
      <c r="ET80" s="461"/>
      <c r="EU80" s="461"/>
      <c r="EV80" s="461"/>
      <c r="EW80" s="461"/>
      <c r="EX80" s="461"/>
      <c r="EY80" s="461"/>
      <c r="EZ80" s="461">
        <v>245.84966848163225</v>
      </c>
      <c r="FA80" s="461"/>
      <c r="FB80" s="461"/>
      <c r="FC80" s="461"/>
      <c r="FD80" s="461"/>
      <c r="FE80" s="461"/>
      <c r="FF80" s="461"/>
      <c r="FG80" s="461"/>
      <c r="FH80" s="461"/>
      <c r="FI80" s="461"/>
      <c r="FJ80" s="461"/>
      <c r="FK80" s="461"/>
      <c r="FL80" s="461"/>
      <c r="FM80" s="461"/>
      <c r="FN80" s="461"/>
      <c r="FO80" s="461"/>
      <c r="FP80" s="461"/>
      <c r="FQ80" s="461"/>
      <c r="FR80" s="461"/>
      <c r="FS80" s="461"/>
      <c r="FT80" s="461"/>
      <c r="FU80" s="461"/>
      <c r="FV80" s="461"/>
      <c r="FW80" s="461"/>
      <c r="FX80" s="461"/>
      <c r="FY80" s="461"/>
      <c r="FZ80" s="461"/>
      <c r="GA80" s="461"/>
      <c r="GB80" s="461"/>
      <c r="GC80" s="461"/>
      <c r="GD80" s="469"/>
      <c r="GE80" s="469"/>
      <c r="GF80" s="469"/>
      <c r="GG80" s="469"/>
      <c r="GH80" s="469"/>
      <c r="GI80" s="469"/>
      <c r="GJ80" s="469"/>
      <c r="GK80" s="469"/>
      <c r="GL80" s="469">
        <v>245.84966848163225</v>
      </c>
      <c r="GM80" s="458"/>
      <c r="GN80" s="469"/>
      <c r="GO80" s="469"/>
      <c r="GP80" s="468"/>
    </row>
    <row r="81" spans="1:198" x14ac:dyDescent="0.25">
      <c r="A81" s="465" t="s">
        <v>1606</v>
      </c>
      <c r="B81" s="461"/>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c r="AD81" s="461"/>
      <c r="AE81" s="461"/>
      <c r="AF81" s="461"/>
      <c r="AG81" s="461"/>
      <c r="AH81" s="461"/>
      <c r="AI81" s="461"/>
      <c r="AJ81" s="461"/>
      <c r="AK81" s="461"/>
      <c r="AL81" s="461"/>
      <c r="AM81" s="461"/>
      <c r="AN81" s="461"/>
      <c r="AO81" s="461"/>
      <c r="AP81" s="461"/>
      <c r="AQ81" s="461"/>
      <c r="AR81" s="461"/>
      <c r="AS81" s="461"/>
      <c r="AT81" s="461"/>
      <c r="AU81" s="461"/>
      <c r="AV81" s="461"/>
      <c r="AW81" s="461"/>
      <c r="AX81" s="461"/>
      <c r="AY81" s="461"/>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61"/>
      <c r="CO81" s="461"/>
      <c r="CP81" s="461"/>
      <c r="CQ81" s="461"/>
      <c r="CR81" s="461"/>
      <c r="CS81" s="461"/>
      <c r="CT81" s="461"/>
      <c r="CU81" s="461"/>
      <c r="CV81" s="461"/>
      <c r="CW81" s="461"/>
      <c r="CX81" s="461"/>
      <c r="CY81" s="461"/>
      <c r="CZ81" s="461"/>
      <c r="DA81" s="461"/>
      <c r="DB81" s="461"/>
      <c r="DC81" s="461"/>
      <c r="DD81" s="461"/>
      <c r="DE81" s="461"/>
      <c r="DF81" s="461"/>
      <c r="DG81" s="461"/>
      <c r="DH81" s="461"/>
      <c r="DI81" s="461"/>
      <c r="DJ81" s="461"/>
      <c r="DK81" s="461"/>
      <c r="DL81" s="461"/>
      <c r="DM81" s="461"/>
      <c r="DN81" s="461"/>
      <c r="DO81" s="461"/>
      <c r="DP81" s="461"/>
      <c r="DQ81" s="461"/>
      <c r="DR81" s="461"/>
      <c r="DS81" s="461"/>
      <c r="DT81" s="461"/>
      <c r="DU81" s="461"/>
      <c r="DV81" s="461"/>
      <c r="DW81" s="461"/>
      <c r="DX81" s="461"/>
      <c r="DY81" s="461"/>
      <c r="DZ81" s="461"/>
      <c r="EA81" s="461"/>
      <c r="EB81" s="461"/>
      <c r="EC81" s="461"/>
      <c r="ED81" s="461"/>
      <c r="EE81" s="461"/>
      <c r="EF81" s="461"/>
      <c r="EG81" s="461"/>
      <c r="EH81" s="461"/>
      <c r="EI81" s="461"/>
      <c r="EJ81" s="461"/>
      <c r="EK81" s="461"/>
      <c r="EL81" s="461"/>
      <c r="EM81" s="461"/>
      <c r="EN81" s="461"/>
      <c r="EO81" s="461"/>
      <c r="EP81" s="461"/>
      <c r="EQ81" s="461"/>
      <c r="ER81" s="461"/>
      <c r="ES81" s="461"/>
      <c r="ET81" s="461"/>
      <c r="EU81" s="461"/>
      <c r="EV81" s="461"/>
      <c r="EW81" s="461"/>
      <c r="EX81" s="461"/>
      <c r="EY81" s="461"/>
      <c r="EZ81" s="461"/>
      <c r="FA81" s="461">
        <v>829.70771140406293</v>
      </c>
      <c r="FB81" s="461"/>
      <c r="FC81" s="461"/>
      <c r="FD81" s="461"/>
      <c r="FE81" s="461"/>
      <c r="FF81" s="461"/>
      <c r="FG81" s="461"/>
      <c r="FH81" s="461"/>
      <c r="FI81" s="461"/>
      <c r="FJ81" s="461"/>
      <c r="FK81" s="461"/>
      <c r="FL81" s="461"/>
      <c r="FM81" s="461"/>
      <c r="FN81" s="461"/>
      <c r="FO81" s="461"/>
      <c r="FP81" s="461"/>
      <c r="FQ81" s="461"/>
      <c r="FR81" s="461"/>
      <c r="FS81" s="461"/>
      <c r="FT81" s="461"/>
      <c r="FU81" s="461"/>
      <c r="FV81" s="461"/>
      <c r="FW81" s="461"/>
      <c r="FX81" s="461"/>
      <c r="FY81" s="461"/>
      <c r="FZ81" s="461"/>
      <c r="GA81" s="461"/>
      <c r="GB81" s="461"/>
      <c r="GC81" s="461"/>
      <c r="GD81" s="469"/>
      <c r="GE81" s="469"/>
      <c r="GF81" s="469"/>
      <c r="GG81" s="469"/>
      <c r="GH81" s="469"/>
      <c r="GI81" s="469"/>
      <c r="GJ81" s="469"/>
      <c r="GK81" s="469"/>
      <c r="GL81" s="469">
        <v>829.70771140406293</v>
      </c>
      <c r="GM81" s="458"/>
      <c r="GN81" s="469"/>
      <c r="GO81" s="469"/>
      <c r="GP81" s="468"/>
    </row>
    <row r="82" spans="1:198" x14ac:dyDescent="0.25">
      <c r="A82" s="465" t="s">
        <v>1605</v>
      </c>
      <c r="B82" s="461"/>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61"/>
      <c r="AG82" s="461"/>
      <c r="AH82" s="461"/>
      <c r="AI82" s="461"/>
      <c r="AJ82" s="461"/>
      <c r="AK82" s="461"/>
      <c r="AL82" s="461"/>
      <c r="AM82" s="461"/>
      <c r="AN82" s="461"/>
      <c r="AO82" s="461"/>
      <c r="AP82" s="461"/>
      <c r="AQ82" s="461"/>
      <c r="AR82" s="461"/>
      <c r="AS82" s="461"/>
      <c r="AT82" s="461"/>
      <c r="AU82" s="461"/>
      <c r="AV82" s="461"/>
      <c r="AW82" s="461"/>
      <c r="AX82" s="461"/>
      <c r="AY82" s="461"/>
      <c r="AZ82" s="461"/>
      <c r="BA82" s="461"/>
      <c r="BB82" s="461"/>
      <c r="BC82" s="461"/>
      <c r="BD82" s="461"/>
      <c r="BE82" s="461"/>
      <c r="BF82" s="461"/>
      <c r="BG82" s="461"/>
      <c r="BH82" s="461"/>
      <c r="BI82" s="461"/>
      <c r="BJ82" s="461"/>
      <c r="BK82" s="461"/>
      <c r="BL82" s="461"/>
      <c r="BM82" s="461"/>
      <c r="BN82" s="461"/>
      <c r="BO82" s="461"/>
      <c r="BP82" s="461"/>
      <c r="BQ82" s="461"/>
      <c r="BR82" s="461"/>
      <c r="BS82" s="461"/>
      <c r="BT82" s="461"/>
      <c r="BU82" s="461"/>
      <c r="BV82" s="461"/>
      <c r="BW82" s="461"/>
      <c r="BX82" s="461"/>
      <c r="BY82" s="461"/>
      <c r="BZ82" s="461"/>
      <c r="CA82" s="461"/>
      <c r="CB82" s="461"/>
      <c r="CC82" s="461"/>
      <c r="CD82" s="461"/>
      <c r="CE82" s="461"/>
      <c r="CF82" s="461"/>
      <c r="CG82" s="461"/>
      <c r="CH82" s="461"/>
      <c r="CI82" s="461"/>
      <c r="CJ82" s="461"/>
      <c r="CK82" s="461"/>
      <c r="CL82" s="461"/>
      <c r="CM82" s="461"/>
      <c r="CN82" s="461"/>
      <c r="CO82" s="461"/>
      <c r="CP82" s="461"/>
      <c r="CQ82" s="461"/>
      <c r="CR82" s="461"/>
      <c r="CS82" s="461"/>
      <c r="CT82" s="461"/>
      <c r="CU82" s="461"/>
      <c r="CV82" s="461"/>
      <c r="CW82" s="461"/>
      <c r="CX82" s="461"/>
      <c r="CY82" s="461"/>
      <c r="CZ82" s="461"/>
      <c r="DA82" s="461"/>
      <c r="DB82" s="461"/>
      <c r="DC82" s="461"/>
      <c r="DD82" s="461"/>
      <c r="DE82" s="461"/>
      <c r="DF82" s="461"/>
      <c r="DG82" s="461"/>
      <c r="DH82" s="461"/>
      <c r="DI82" s="461"/>
      <c r="DJ82" s="461"/>
      <c r="DK82" s="461"/>
      <c r="DL82" s="461"/>
      <c r="DM82" s="461"/>
      <c r="DN82" s="461"/>
      <c r="DO82" s="461"/>
      <c r="DP82" s="461"/>
      <c r="DQ82" s="461"/>
      <c r="DR82" s="461"/>
      <c r="DS82" s="461"/>
      <c r="DT82" s="461"/>
      <c r="DU82" s="461"/>
      <c r="DV82" s="461"/>
      <c r="DW82" s="461"/>
      <c r="DX82" s="461"/>
      <c r="DY82" s="461"/>
      <c r="DZ82" s="461"/>
      <c r="EA82" s="461"/>
      <c r="EB82" s="461"/>
      <c r="EC82" s="461"/>
      <c r="ED82" s="461"/>
      <c r="EE82" s="461"/>
      <c r="EF82" s="461"/>
      <c r="EG82" s="461"/>
      <c r="EH82" s="461"/>
      <c r="EI82" s="461"/>
      <c r="EJ82" s="461"/>
      <c r="EK82" s="461"/>
      <c r="EL82" s="461"/>
      <c r="EM82" s="461"/>
      <c r="EN82" s="461"/>
      <c r="EO82" s="461"/>
      <c r="EP82" s="461"/>
      <c r="EQ82" s="461"/>
      <c r="ER82" s="461"/>
      <c r="ES82" s="461"/>
      <c r="ET82" s="461"/>
      <c r="EU82" s="461"/>
      <c r="EV82" s="461"/>
      <c r="EW82" s="461"/>
      <c r="EX82" s="461"/>
      <c r="EY82" s="461"/>
      <c r="EZ82" s="461"/>
      <c r="FA82" s="461"/>
      <c r="FB82" s="461">
        <v>1411.855520333017</v>
      </c>
      <c r="FC82" s="461"/>
      <c r="FD82" s="461"/>
      <c r="FE82" s="461"/>
      <c r="FF82" s="461"/>
      <c r="FG82" s="461"/>
      <c r="FH82" s="461"/>
      <c r="FI82" s="461"/>
      <c r="FJ82" s="461"/>
      <c r="FK82" s="461"/>
      <c r="FL82" s="461"/>
      <c r="FM82" s="461"/>
      <c r="FN82" s="461"/>
      <c r="FO82" s="461"/>
      <c r="FP82" s="461"/>
      <c r="FQ82" s="461"/>
      <c r="FR82" s="461"/>
      <c r="FS82" s="461"/>
      <c r="FT82" s="461"/>
      <c r="FU82" s="461"/>
      <c r="FV82" s="461"/>
      <c r="FW82" s="461"/>
      <c r="FX82" s="461"/>
      <c r="FY82" s="461"/>
      <c r="FZ82" s="461"/>
      <c r="GA82" s="461"/>
      <c r="GB82" s="461"/>
      <c r="GC82" s="461"/>
      <c r="GD82" s="469"/>
      <c r="GE82" s="469"/>
      <c r="GF82" s="469"/>
      <c r="GG82" s="469"/>
      <c r="GH82" s="469"/>
      <c r="GI82" s="469"/>
      <c r="GJ82" s="469"/>
      <c r="GK82" s="469"/>
      <c r="GL82" s="469">
        <v>1411.855520333017</v>
      </c>
      <c r="GM82" s="458"/>
      <c r="GN82" s="469"/>
      <c r="GO82" s="469"/>
      <c r="GP82" s="468"/>
    </row>
    <row r="83" spans="1:198" x14ac:dyDescent="0.25">
      <c r="A83" s="465" t="s">
        <v>1604</v>
      </c>
      <c r="B83" s="461"/>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61"/>
      <c r="AG83" s="461"/>
      <c r="AH83" s="461"/>
      <c r="AI83" s="461"/>
      <c r="AJ83" s="461"/>
      <c r="AK83" s="461"/>
      <c r="AL83" s="461"/>
      <c r="AM83" s="461"/>
      <c r="AN83" s="461"/>
      <c r="AO83" s="461"/>
      <c r="AP83" s="461"/>
      <c r="AQ83" s="461"/>
      <c r="AR83" s="461"/>
      <c r="AS83" s="461"/>
      <c r="AT83" s="461"/>
      <c r="AU83" s="461"/>
      <c r="AV83" s="461"/>
      <c r="AW83" s="461"/>
      <c r="AX83" s="461"/>
      <c r="AY83" s="461"/>
      <c r="AZ83" s="461"/>
      <c r="BA83" s="461"/>
      <c r="BB83" s="461"/>
      <c r="BC83" s="461"/>
      <c r="BD83" s="461"/>
      <c r="BE83" s="461"/>
      <c r="BF83" s="461"/>
      <c r="BG83" s="461"/>
      <c r="BH83" s="461"/>
      <c r="BI83" s="461"/>
      <c r="BJ83" s="461"/>
      <c r="BK83" s="461"/>
      <c r="BL83" s="461"/>
      <c r="BM83" s="461"/>
      <c r="BN83" s="461"/>
      <c r="BO83" s="461"/>
      <c r="BP83" s="461"/>
      <c r="BQ83" s="461"/>
      <c r="BR83" s="461"/>
      <c r="BS83" s="461"/>
      <c r="BT83" s="461"/>
      <c r="BU83" s="461"/>
      <c r="BV83" s="461"/>
      <c r="BW83" s="461"/>
      <c r="BX83" s="461"/>
      <c r="BY83" s="461"/>
      <c r="BZ83" s="461"/>
      <c r="CA83" s="461"/>
      <c r="CB83" s="461"/>
      <c r="CC83" s="461"/>
      <c r="CD83" s="461"/>
      <c r="CE83" s="461"/>
      <c r="CF83" s="461"/>
      <c r="CG83" s="461"/>
      <c r="CH83" s="461"/>
      <c r="CI83" s="461"/>
      <c r="CJ83" s="461"/>
      <c r="CK83" s="461"/>
      <c r="CL83" s="461"/>
      <c r="CM83" s="461"/>
      <c r="CN83" s="461"/>
      <c r="CO83" s="461"/>
      <c r="CP83" s="461"/>
      <c r="CQ83" s="461"/>
      <c r="CR83" s="461"/>
      <c r="CS83" s="461"/>
      <c r="CT83" s="461"/>
      <c r="CU83" s="461"/>
      <c r="CV83" s="461"/>
      <c r="CW83" s="461"/>
      <c r="CX83" s="461"/>
      <c r="CY83" s="461"/>
      <c r="CZ83" s="461"/>
      <c r="DA83" s="461"/>
      <c r="DB83" s="461"/>
      <c r="DC83" s="461"/>
      <c r="DD83" s="461"/>
      <c r="DE83" s="461"/>
      <c r="DF83" s="461"/>
      <c r="DG83" s="461"/>
      <c r="DH83" s="461"/>
      <c r="DI83" s="461"/>
      <c r="DJ83" s="461"/>
      <c r="DK83" s="461"/>
      <c r="DL83" s="461"/>
      <c r="DM83" s="461"/>
      <c r="DN83" s="461"/>
      <c r="DO83" s="461"/>
      <c r="DP83" s="461"/>
      <c r="DQ83" s="461"/>
      <c r="DR83" s="461"/>
      <c r="DS83" s="461"/>
      <c r="DT83" s="461"/>
      <c r="DU83" s="461"/>
      <c r="DV83" s="461"/>
      <c r="DW83" s="461"/>
      <c r="DX83" s="461"/>
      <c r="DY83" s="461"/>
      <c r="DZ83" s="461"/>
      <c r="EA83" s="461"/>
      <c r="EB83" s="461"/>
      <c r="EC83" s="461"/>
      <c r="ED83" s="461"/>
      <c r="EE83" s="461"/>
      <c r="EF83" s="461"/>
      <c r="EG83" s="461"/>
      <c r="EH83" s="461"/>
      <c r="EI83" s="461"/>
      <c r="EJ83" s="461"/>
      <c r="EK83" s="461"/>
      <c r="EL83" s="461"/>
      <c r="EM83" s="461"/>
      <c r="EN83" s="461"/>
      <c r="EO83" s="461"/>
      <c r="EP83" s="461"/>
      <c r="EQ83" s="461"/>
      <c r="ER83" s="461"/>
      <c r="ES83" s="461"/>
      <c r="ET83" s="461"/>
      <c r="EU83" s="461"/>
      <c r="EV83" s="461"/>
      <c r="EW83" s="461"/>
      <c r="EX83" s="461"/>
      <c r="EY83" s="461"/>
      <c r="EZ83" s="461"/>
      <c r="FA83" s="461"/>
      <c r="FB83" s="461"/>
      <c r="FC83" s="461">
        <v>1203.1253695904052</v>
      </c>
      <c r="FD83" s="461"/>
      <c r="FE83" s="461"/>
      <c r="FF83" s="461"/>
      <c r="FG83" s="461"/>
      <c r="FH83" s="461"/>
      <c r="FI83" s="461"/>
      <c r="FJ83" s="461"/>
      <c r="FK83" s="461"/>
      <c r="FL83" s="461"/>
      <c r="FM83" s="461"/>
      <c r="FN83" s="461"/>
      <c r="FO83" s="461"/>
      <c r="FP83" s="461"/>
      <c r="FQ83" s="461"/>
      <c r="FR83" s="461"/>
      <c r="FS83" s="461"/>
      <c r="FT83" s="461"/>
      <c r="FU83" s="461"/>
      <c r="FV83" s="461"/>
      <c r="FW83" s="461"/>
      <c r="FX83" s="461"/>
      <c r="FY83" s="461"/>
      <c r="FZ83" s="461"/>
      <c r="GA83" s="461"/>
      <c r="GB83" s="461"/>
      <c r="GC83" s="461"/>
      <c r="GD83" s="469"/>
      <c r="GE83" s="469"/>
      <c r="GF83" s="469"/>
      <c r="GG83" s="469"/>
      <c r="GH83" s="469"/>
      <c r="GI83" s="469"/>
      <c r="GJ83" s="469"/>
      <c r="GK83" s="469"/>
      <c r="GL83" s="469">
        <v>1203.1253695904052</v>
      </c>
      <c r="GM83" s="458"/>
      <c r="GN83" s="469"/>
      <c r="GO83" s="469"/>
      <c r="GP83" s="468"/>
    </row>
    <row r="84" spans="1:198" x14ac:dyDescent="0.25">
      <c r="A84" s="465" t="s">
        <v>1603</v>
      </c>
      <c r="B84" s="461"/>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61"/>
      <c r="AG84" s="461"/>
      <c r="AH84" s="461"/>
      <c r="AI84" s="461"/>
      <c r="AJ84" s="461"/>
      <c r="AK84" s="461"/>
      <c r="AL84" s="461"/>
      <c r="AM84" s="461"/>
      <c r="AN84" s="461"/>
      <c r="AO84" s="461"/>
      <c r="AP84" s="461"/>
      <c r="AQ84" s="461"/>
      <c r="AR84" s="461"/>
      <c r="AS84" s="461"/>
      <c r="AT84" s="461"/>
      <c r="AU84" s="461"/>
      <c r="AV84" s="461"/>
      <c r="AW84" s="461"/>
      <c r="AX84" s="461"/>
      <c r="AY84" s="461"/>
      <c r="AZ84" s="461"/>
      <c r="BA84" s="461"/>
      <c r="BB84" s="461"/>
      <c r="BC84" s="461"/>
      <c r="BD84" s="461"/>
      <c r="BE84" s="461"/>
      <c r="BF84" s="461"/>
      <c r="BG84" s="461"/>
      <c r="BH84" s="461"/>
      <c r="BI84" s="461"/>
      <c r="BJ84" s="461"/>
      <c r="BK84" s="461"/>
      <c r="BL84" s="461"/>
      <c r="BM84" s="461"/>
      <c r="BN84" s="461"/>
      <c r="BO84" s="461"/>
      <c r="BP84" s="461"/>
      <c r="BQ84" s="461"/>
      <c r="BR84" s="461"/>
      <c r="BS84" s="461"/>
      <c r="BT84" s="461"/>
      <c r="BU84" s="461"/>
      <c r="BV84" s="461"/>
      <c r="BW84" s="461"/>
      <c r="BX84" s="461"/>
      <c r="BY84" s="461"/>
      <c r="BZ84" s="461"/>
      <c r="CA84" s="461"/>
      <c r="CB84" s="461"/>
      <c r="CC84" s="461"/>
      <c r="CD84" s="461"/>
      <c r="CE84" s="461"/>
      <c r="CF84" s="461"/>
      <c r="CG84" s="461"/>
      <c r="CH84" s="461"/>
      <c r="CI84" s="461"/>
      <c r="CJ84" s="461"/>
      <c r="CK84" s="461"/>
      <c r="CL84" s="461"/>
      <c r="CM84" s="461"/>
      <c r="CN84" s="461"/>
      <c r="CO84" s="461"/>
      <c r="CP84" s="461"/>
      <c r="CQ84" s="461"/>
      <c r="CR84" s="461"/>
      <c r="CS84" s="461"/>
      <c r="CT84" s="461"/>
      <c r="CU84" s="461"/>
      <c r="CV84" s="461"/>
      <c r="CW84" s="461"/>
      <c r="CX84" s="461"/>
      <c r="CY84" s="461"/>
      <c r="CZ84" s="461"/>
      <c r="DA84" s="461"/>
      <c r="DB84" s="461"/>
      <c r="DC84" s="461"/>
      <c r="DD84" s="461"/>
      <c r="DE84" s="461"/>
      <c r="DF84" s="461"/>
      <c r="DG84" s="461"/>
      <c r="DH84" s="461"/>
      <c r="DI84" s="461"/>
      <c r="DJ84" s="461"/>
      <c r="DK84" s="461"/>
      <c r="DL84" s="461"/>
      <c r="DM84" s="461"/>
      <c r="DN84" s="461"/>
      <c r="DO84" s="461"/>
      <c r="DP84" s="461"/>
      <c r="DQ84" s="461"/>
      <c r="DR84" s="461"/>
      <c r="DS84" s="461"/>
      <c r="DT84" s="461"/>
      <c r="DU84" s="461"/>
      <c r="DV84" s="461"/>
      <c r="DW84" s="461"/>
      <c r="DX84" s="461"/>
      <c r="DY84" s="461"/>
      <c r="DZ84" s="461"/>
      <c r="EA84" s="461"/>
      <c r="EB84" s="461"/>
      <c r="EC84" s="461"/>
      <c r="ED84" s="461"/>
      <c r="EE84" s="461"/>
      <c r="EF84" s="461"/>
      <c r="EG84" s="461"/>
      <c r="EH84" s="461"/>
      <c r="EI84" s="461"/>
      <c r="EJ84" s="461"/>
      <c r="EK84" s="461"/>
      <c r="EL84" s="461"/>
      <c r="EM84" s="461"/>
      <c r="EN84" s="461"/>
      <c r="EO84" s="461"/>
      <c r="EP84" s="461"/>
      <c r="EQ84" s="461"/>
      <c r="ER84" s="461"/>
      <c r="ES84" s="461"/>
      <c r="ET84" s="461"/>
      <c r="EU84" s="461"/>
      <c r="EV84" s="461"/>
      <c r="EW84" s="461"/>
      <c r="EX84" s="461"/>
      <c r="EY84" s="461"/>
      <c r="EZ84" s="461"/>
      <c r="FA84" s="461"/>
      <c r="FB84" s="461"/>
      <c r="FC84" s="461"/>
      <c r="FD84" s="461">
        <v>838.60829153311568</v>
      </c>
      <c r="FE84" s="461"/>
      <c r="FF84" s="461"/>
      <c r="FG84" s="461"/>
      <c r="FH84" s="461"/>
      <c r="FI84" s="461"/>
      <c r="FJ84" s="461"/>
      <c r="FK84" s="461"/>
      <c r="FL84" s="461"/>
      <c r="FM84" s="461"/>
      <c r="FN84" s="461"/>
      <c r="FO84" s="461"/>
      <c r="FP84" s="461"/>
      <c r="FQ84" s="461"/>
      <c r="FR84" s="461"/>
      <c r="FS84" s="461"/>
      <c r="FT84" s="461"/>
      <c r="FU84" s="461"/>
      <c r="FV84" s="461"/>
      <c r="FW84" s="461"/>
      <c r="FX84" s="461"/>
      <c r="FY84" s="461"/>
      <c r="FZ84" s="461"/>
      <c r="GA84" s="461"/>
      <c r="GB84" s="461"/>
      <c r="GC84" s="461"/>
      <c r="GD84" s="469"/>
      <c r="GE84" s="469"/>
      <c r="GF84" s="469"/>
      <c r="GG84" s="469"/>
      <c r="GH84" s="469"/>
      <c r="GI84" s="469"/>
      <c r="GJ84" s="469"/>
      <c r="GK84" s="469"/>
      <c r="GL84" s="469">
        <v>838.60829153311568</v>
      </c>
      <c r="GM84" s="458"/>
      <c r="GN84" s="469"/>
      <c r="GO84" s="469"/>
      <c r="GP84" s="468"/>
    </row>
    <row r="85" spans="1:198" x14ac:dyDescent="0.25">
      <c r="A85" s="465" t="s">
        <v>2291</v>
      </c>
      <c r="B85" s="461">
        <v>0.14713784739806332</v>
      </c>
      <c r="C85" s="461"/>
      <c r="D85" s="461"/>
      <c r="E85" s="461"/>
      <c r="F85" s="461"/>
      <c r="G85" s="461"/>
      <c r="H85" s="461"/>
      <c r="I85" s="461"/>
      <c r="J85" s="461"/>
      <c r="K85" s="461"/>
      <c r="L85" s="461"/>
      <c r="M85" s="461">
        <v>1.0499018268859621E-2</v>
      </c>
      <c r="N85" s="461"/>
      <c r="O85" s="461"/>
      <c r="P85" s="461"/>
      <c r="Q85" s="461"/>
      <c r="R85" s="461"/>
      <c r="S85" s="461"/>
      <c r="T85" s="461"/>
      <c r="U85" s="461"/>
      <c r="V85" s="461"/>
      <c r="W85" s="461"/>
      <c r="X85" s="461"/>
      <c r="Y85" s="461"/>
      <c r="Z85" s="461"/>
      <c r="AA85" s="461">
        <v>2.0565365230652422</v>
      </c>
      <c r="AB85" s="461">
        <v>0.9170663869278205</v>
      </c>
      <c r="AC85" s="461">
        <v>4.1314141397479388E-3</v>
      </c>
      <c r="AD85" s="461">
        <v>3.6084456675565391</v>
      </c>
      <c r="AE85" s="461"/>
      <c r="AF85" s="461"/>
      <c r="AG85" s="461"/>
      <c r="AH85" s="461">
        <v>5.2917640762775976E-2</v>
      </c>
      <c r="AI85" s="461">
        <v>0.29935586498715777</v>
      </c>
      <c r="AJ85" s="461"/>
      <c r="AK85" s="461"/>
      <c r="AL85" s="461"/>
      <c r="AM85" s="461"/>
      <c r="AN85" s="461"/>
      <c r="AO85" s="461"/>
      <c r="AP85" s="461"/>
      <c r="AQ85" s="461"/>
      <c r="AR85" s="461"/>
      <c r="AS85" s="461"/>
      <c r="AT85" s="461"/>
      <c r="AU85" s="461"/>
      <c r="AV85" s="461"/>
      <c r="AW85" s="461"/>
      <c r="AX85" s="461"/>
      <c r="AY85" s="461"/>
      <c r="AZ85" s="461"/>
      <c r="BA85" s="461"/>
      <c r="BB85" s="461"/>
      <c r="BC85" s="461"/>
      <c r="BD85" s="461"/>
      <c r="BE85" s="461"/>
      <c r="BF85" s="461"/>
      <c r="BG85" s="461"/>
      <c r="BH85" s="461"/>
      <c r="BI85" s="461"/>
      <c r="BJ85" s="461">
        <v>2.2761473735678221E-2</v>
      </c>
      <c r="BK85" s="480">
        <v>1.5222028086053145E-3</v>
      </c>
      <c r="BL85" s="461"/>
      <c r="BM85" s="461">
        <v>2.2123581580769987E-2</v>
      </c>
      <c r="BN85" s="461"/>
      <c r="BO85" s="461"/>
      <c r="BP85" s="461"/>
      <c r="BQ85" s="461"/>
      <c r="BR85" s="461"/>
      <c r="BS85" s="461"/>
      <c r="BT85" s="461"/>
      <c r="BU85" s="461"/>
      <c r="BV85" s="461"/>
      <c r="BW85" s="461"/>
      <c r="BX85" s="461">
        <v>1.0803766702271587E-2</v>
      </c>
      <c r="BY85" s="461">
        <v>1.858117603165086E-2</v>
      </c>
      <c r="BZ85" s="461">
        <v>6.8257910011813874E-2</v>
      </c>
      <c r="CA85" s="461"/>
      <c r="CB85" s="461"/>
      <c r="CC85" s="461"/>
      <c r="CD85" s="461"/>
      <c r="CE85" s="461"/>
      <c r="CF85" s="461"/>
      <c r="CG85" s="461"/>
      <c r="CH85" s="461"/>
      <c r="CI85" s="461"/>
      <c r="CJ85" s="461"/>
      <c r="CK85" s="461"/>
      <c r="CL85" s="461"/>
      <c r="CM85" s="461"/>
      <c r="CN85" s="461"/>
      <c r="CO85" s="461"/>
      <c r="CP85" s="461"/>
      <c r="CQ85" s="461"/>
      <c r="CR85" s="461"/>
      <c r="CS85" s="461"/>
      <c r="CT85" s="461"/>
      <c r="CU85" s="461"/>
      <c r="CV85" s="461"/>
      <c r="CW85" s="461"/>
      <c r="CX85" s="461"/>
      <c r="CY85" s="461"/>
      <c r="CZ85" s="461"/>
      <c r="DA85" s="461"/>
      <c r="DB85" s="461"/>
      <c r="DC85" s="461"/>
      <c r="DD85" s="461"/>
      <c r="DE85" s="461"/>
      <c r="DF85" s="461"/>
      <c r="DG85" s="461"/>
      <c r="DH85" s="461"/>
      <c r="DI85" s="461"/>
      <c r="DJ85" s="461"/>
      <c r="DK85" s="461"/>
      <c r="DL85" s="461"/>
      <c r="DM85" s="461"/>
      <c r="DN85" s="461"/>
      <c r="DO85" s="461"/>
      <c r="DP85" s="461"/>
      <c r="DQ85" s="461"/>
      <c r="DR85" s="461"/>
      <c r="DS85" s="461"/>
      <c r="DT85" s="461"/>
      <c r="DU85" s="461"/>
      <c r="DV85" s="461"/>
      <c r="DW85" s="461"/>
      <c r="DX85" s="461"/>
      <c r="DY85" s="461"/>
      <c r="DZ85" s="461"/>
      <c r="EA85" s="461"/>
      <c r="EB85" s="461"/>
      <c r="EC85" s="461"/>
      <c r="ED85" s="461"/>
      <c r="EE85" s="461"/>
      <c r="EF85" s="461"/>
      <c r="EG85" s="461"/>
      <c r="EH85" s="461"/>
      <c r="EI85" s="461"/>
      <c r="EJ85" s="461"/>
      <c r="EK85" s="461"/>
      <c r="EL85" s="461"/>
      <c r="EM85" s="461"/>
      <c r="EN85" s="461"/>
      <c r="EO85" s="461"/>
      <c r="EP85" s="461"/>
      <c r="EQ85" s="461"/>
      <c r="ER85" s="461"/>
      <c r="ES85" s="461"/>
      <c r="ET85" s="461"/>
      <c r="EU85" s="461"/>
      <c r="EV85" s="461"/>
      <c r="EW85" s="461"/>
      <c r="EX85" s="461"/>
      <c r="EY85" s="461"/>
      <c r="EZ85" s="461"/>
      <c r="FA85" s="461"/>
      <c r="FB85" s="461"/>
      <c r="FC85" s="461"/>
      <c r="FD85" s="461"/>
      <c r="FE85" s="461"/>
      <c r="FF85" s="461"/>
      <c r="FG85" s="461"/>
      <c r="FH85" s="461"/>
      <c r="FI85" s="461"/>
      <c r="FJ85" s="461"/>
      <c r="FK85" s="461"/>
      <c r="FL85" s="461"/>
      <c r="FM85" s="461"/>
      <c r="FN85" s="461"/>
      <c r="FO85" s="461"/>
      <c r="FP85" s="461">
        <v>0.67440361699664919</v>
      </c>
      <c r="FQ85" s="461">
        <v>0.78272647401207351</v>
      </c>
      <c r="FR85" s="461">
        <v>0.6915348005090739</v>
      </c>
      <c r="FS85" s="461">
        <v>0.655658989247483</v>
      </c>
      <c r="FT85" s="461">
        <v>0.63499492707097971</v>
      </c>
      <c r="FU85" s="461">
        <v>0.59100365886971806</v>
      </c>
      <c r="FV85" s="461">
        <v>0.57436335847715969</v>
      </c>
      <c r="FW85" s="461">
        <v>0.62302064503586174</v>
      </c>
      <c r="FX85" s="461">
        <v>0.60153537907150478</v>
      </c>
      <c r="FY85" s="461">
        <v>0.79781859863373072</v>
      </c>
      <c r="FZ85" s="461"/>
      <c r="GA85" s="461"/>
      <c r="GB85" s="461"/>
      <c r="GC85" s="461"/>
      <c r="GD85" s="469"/>
      <c r="GE85" s="469"/>
      <c r="GF85" s="469"/>
      <c r="GG85" s="469"/>
      <c r="GH85" s="469"/>
      <c r="GI85" s="469"/>
      <c r="GJ85" s="469">
        <v>0.87901301150932565</v>
      </c>
      <c r="GK85" s="469">
        <v>0.96132322931523395</v>
      </c>
      <c r="GL85" s="469">
        <v>15.707537162725787</v>
      </c>
      <c r="GM85" s="458"/>
      <c r="GN85" s="464"/>
      <c r="GO85" s="470"/>
      <c r="GP85" s="468"/>
    </row>
    <row r="86" spans="1:198" x14ac:dyDescent="0.25">
      <c r="A86" s="465" t="s">
        <v>2292</v>
      </c>
      <c r="B86" s="461"/>
      <c r="C86" s="461">
        <v>1.1501771183555045</v>
      </c>
      <c r="D86" s="461"/>
      <c r="E86" s="461"/>
      <c r="F86" s="461"/>
      <c r="G86" s="461"/>
      <c r="H86" s="461"/>
      <c r="I86" s="461"/>
      <c r="J86" s="461"/>
      <c r="K86" s="461"/>
      <c r="L86" s="461"/>
      <c r="M86" s="461">
        <v>0.92584465101087154</v>
      </c>
      <c r="N86" s="461"/>
      <c r="O86" s="461"/>
      <c r="P86" s="461"/>
      <c r="Q86" s="461"/>
      <c r="R86" s="461"/>
      <c r="S86" s="461"/>
      <c r="T86" s="461"/>
      <c r="U86" s="461"/>
      <c r="V86" s="461"/>
      <c r="W86" s="461"/>
      <c r="X86" s="461"/>
      <c r="Y86" s="461"/>
      <c r="Z86" s="461"/>
      <c r="AA86" s="461">
        <v>16.019570824103329</v>
      </c>
      <c r="AB86" s="461">
        <v>5.8312160910241211</v>
      </c>
      <c r="AC86" s="461">
        <v>0.35147907324056266</v>
      </c>
      <c r="AD86" s="461">
        <v>0.83287300050091895</v>
      </c>
      <c r="AE86" s="461"/>
      <c r="AF86" s="461"/>
      <c r="AG86" s="461"/>
      <c r="AH86" s="461">
        <v>0.26333076992232468</v>
      </c>
      <c r="AI86" s="461"/>
      <c r="AJ86" s="461"/>
      <c r="AK86" s="461"/>
      <c r="AL86" s="461"/>
      <c r="AM86" s="461"/>
      <c r="AN86" s="461"/>
      <c r="AO86" s="461"/>
      <c r="AP86" s="461"/>
      <c r="AQ86" s="461"/>
      <c r="AR86" s="461"/>
      <c r="AS86" s="461"/>
      <c r="AT86" s="461"/>
      <c r="AU86" s="461"/>
      <c r="AV86" s="461"/>
      <c r="AW86" s="461"/>
      <c r="AX86" s="461"/>
      <c r="AY86" s="461"/>
      <c r="AZ86" s="461"/>
      <c r="BA86" s="461"/>
      <c r="BB86" s="461"/>
      <c r="BC86" s="461"/>
      <c r="BD86" s="461"/>
      <c r="BE86" s="461"/>
      <c r="BF86" s="461"/>
      <c r="BG86" s="461"/>
      <c r="BH86" s="461"/>
      <c r="BI86" s="461"/>
      <c r="BJ86" s="461">
        <v>0.11258935287529161</v>
      </c>
      <c r="BK86" s="480">
        <v>7.4968055123800356E-3</v>
      </c>
      <c r="BL86" s="461"/>
      <c r="BM86" s="461">
        <v>0.12350098283300627</v>
      </c>
      <c r="BN86" s="461"/>
      <c r="BO86" s="461"/>
      <c r="BP86" s="461"/>
      <c r="BQ86" s="461"/>
      <c r="BR86" s="461"/>
      <c r="BS86" s="461"/>
      <c r="BT86" s="461"/>
      <c r="BU86" s="461"/>
      <c r="BV86" s="461"/>
      <c r="BW86" s="461"/>
      <c r="BX86" s="461">
        <v>5.3319148778579351E-2</v>
      </c>
      <c r="BY86" s="461">
        <v>9.1828414246415288E-2</v>
      </c>
      <c r="BZ86" s="461">
        <v>0.34096990200388688</v>
      </c>
      <c r="CA86" s="461"/>
      <c r="CB86" s="461"/>
      <c r="CC86" s="461"/>
      <c r="CD86" s="461"/>
      <c r="CE86" s="461"/>
      <c r="CF86" s="461"/>
      <c r="CG86" s="461"/>
      <c r="CH86" s="461"/>
      <c r="CI86" s="461"/>
      <c r="CJ86" s="461"/>
      <c r="CK86" s="461"/>
      <c r="CL86" s="461"/>
      <c r="CM86" s="461"/>
      <c r="CN86" s="461"/>
      <c r="CO86" s="461"/>
      <c r="CP86" s="461"/>
      <c r="CQ86" s="461"/>
      <c r="CR86" s="461"/>
      <c r="CS86" s="461"/>
      <c r="CT86" s="461"/>
      <c r="CU86" s="461"/>
      <c r="CV86" s="461"/>
      <c r="CW86" s="461"/>
      <c r="CX86" s="461"/>
      <c r="CY86" s="461"/>
      <c r="CZ86" s="461"/>
      <c r="DA86" s="461"/>
      <c r="DB86" s="461"/>
      <c r="DC86" s="461"/>
      <c r="DD86" s="461"/>
      <c r="DE86" s="461"/>
      <c r="DF86" s="461"/>
      <c r="DG86" s="461"/>
      <c r="DH86" s="461"/>
      <c r="DI86" s="461"/>
      <c r="DJ86" s="461"/>
      <c r="DK86" s="461"/>
      <c r="DL86" s="461"/>
      <c r="DM86" s="461"/>
      <c r="DN86" s="461"/>
      <c r="DO86" s="461"/>
      <c r="DP86" s="461"/>
      <c r="DQ86" s="461"/>
      <c r="DR86" s="461"/>
      <c r="DS86" s="461"/>
      <c r="DT86" s="461"/>
      <c r="DU86" s="461"/>
      <c r="DV86" s="461"/>
      <c r="DW86" s="461"/>
      <c r="DX86" s="461"/>
      <c r="DY86" s="461"/>
      <c r="DZ86" s="461"/>
      <c r="EA86" s="461"/>
      <c r="EB86" s="461"/>
      <c r="EC86" s="461"/>
      <c r="ED86" s="461"/>
      <c r="EE86" s="461"/>
      <c r="EF86" s="461"/>
      <c r="EG86" s="461"/>
      <c r="EH86" s="461"/>
      <c r="EI86" s="461"/>
      <c r="EJ86" s="461"/>
      <c r="EK86" s="461"/>
      <c r="EL86" s="461"/>
      <c r="EM86" s="461"/>
      <c r="EN86" s="461"/>
      <c r="EO86" s="461"/>
      <c r="EP86" s="461"/>
      <c r="EQ86" s="461"/>
      <c r="ER86" s="461"/>
      <c r="ES86" s="461"/>
      <c r="ET86" s="461"/>
      <c r="EU86" s="461"/>
      <c r="EV86" s="461"/>
      <c r="EW86" s="461"/>
      <c r="EX86" s="461"/>
      <c r="EY86" s="461"/>
      <c r="EZ86" s="461"/>
      <c r="FA86" s="461"/>
      <c r="FB86" s="461"/>
      <c r="FC86" s="461"/>
      <c r="FD86" s="461"/>
      <c r="FE86" s="461"/>
      <c r="FF86" s="461"/>
      <c r="FG86" s="461"/>
      <c r="FH86" s="461"/>
      <c r="FI86" s="461"/>
      <c r="FJ86" s="461"/>
      <c r="FK86" s="461"/>
      <c r="FL86" s="461"/>
      <c r="FM86" s="461"/>
      <c r="FN86" s="461"/>
      <c r="FO86" s="461"/>
      <c r="FP86" s="461">
        <v>0.48899824085321097</v>
      </c>
      <c r="FQ86" s="461">
        <v>0.5721238368629189</v>
      </c>
      <c r="FR86" s="461">
        <v>0.5018210842242512</v>
      </c>
      <c r="FS86" s="461">
        <v>0.47428786182177024</v>
      </c>
      <c r="FT86" s="461">
        <v>0.45822357624738658</v>
      </c>
      <c r="FU86" s="461">
        <v>0.42485859104376617</v>
      </c>
      <c r="FV86" s="461">
        <v>0.41223738052400494</v>
      </c>
      <c r="FW86" s="461">
        <v>0.44872078180370895</v>
      </c>
      <c r="FX86" s="461">
        <v>0.43253892488449869</v>
      </c>
      <c r="FY86" s="461">
        <v>0.58253938588074117</v>
      </c>
      <c r="FZ86" s="461"/>
      <c r="GA86" s="461"/>
      <c r="GB86" s="461"/>
      <c r="GC86" s="461"/>
      <c r="GD86" s="469"/>
      <c r="GE86" s="469"/>
      <c r="GF86" s="469"/>
      <c r="GG86" s="469"/>
      <c r="GH86" s="469"/>
      <c r="GI86" s="469"/>
      <c r="GJ86" s="469">
        <v>-5.5377710085925305</v>
      </c>
      <c r="GK86" s="469">
        <v>6.1115436842284234</v>
      </c>
      <c r="GL86" s="469">
        <v>31.474318474189332</v>
      </c>
      <c r="GM86" s="458"/>
      <c r="GN86" s="464"/>
      <c r="GO86" s="470"/>
      <c r="GP86" s="468"/>
    </row>
    <row r="87" spans="1:198" x14ac:dyDescent="0.25">
      <c r="A87" s="465" t="s">
        <v>2293</v>
      </c>
      <c r="B87" s="461"/>
      <c r="C87" s="461"/>
      <c r="D87" s="461">
        <v>4.1037323604315078E-2</v>
      </c>
      <c r="E87" s="461"/>
      <c r="F87" s="461"/>
      <c r="G87" s="461"/>
      <c r="H87" s="461"/>
      <c r="I87" s="461"/>
      <c r="J87" s="461"/>
      <c r="K87" s="461"/>
      <c r="L87" s="461"/>
      <c r="M87" s="461">
        <v>5.8587367377735729E-3</v>
      </c>
      <c r="N87" s="461"/>
      <c r="O87" s="461"/>
      <c r="P87" s="461"/>
      <c r="Q87" s="461"/>
      <c r="R87" s="461"/>
      <c r="S87" s="461"/>
      <c r="T87" s="461"/>
      <c r="U87" s="461"/>
      <c r="V87" s="461"/>
      <c r="W87" s="461"/>
      <c r="X87" s="461"/>
      <c r="Y87" s="461"/>
      <c r="Z87" s="461"/>
      <c r="AA87" s="461">
        <v>0.80974710700371777</v>
      </c>
      <c r="AB87" s="461">
        <v>0.27923794415348363</v>
      </c>
      <c r="AC87" s="461">
        <v>2.3017872450911492E-3</v>
      </c>
      <c r="AD87" s="461">
        <v>4.5225853184835213E-2</v>
      </c>
      <c r="AE87" s="461"/>
      <c r="AF87" s="461"/>
      <c r="AG87" s="461"/>
      <c r="AH87" s="461">
        <v>1.4263931561355849E-2</v>
      </c>
      <c r="AI87" s="461">
        <v>0.34321531793673871</v>
      </c>
      <c r="AJ87" s="461"/>
      <c r="AK87" s="461"/>
      <c r="AL87" s="461"/>
      <c r="AM87" s="461"/>
      <c r="AN87" s="461"/>
      <c r="AO87" s="461"/>
      <c r="AP87" s="461"/>
      <c r="AQ87" s="461"/>
      <c r="AR87" s="461"/>
      <c r="AS87" s="461"/>
      <c r="AT87" s="461"/>
      <c r="AU87" s="461"/>
      <c r="AV87" s="461"/>
      <c r="AW87" s="461"/>
      <c r="AX87" s="461"/>
      <c r="AY87" s="461"/>
      <c r="AZ87" s="461"/>
      <c r="BA87" s="461"/>
      <c r="BB87" s="461"/>
      <c r="BC87" s="461"/>
      <c r="BD87" s="461"/>
      <c r="BE87" s="461"/>
      <c r="BF87" s="461"/>
      <c r="BG87" s="461"/>
      <c r="BH87" s="461"/>
      <c r="BI87" s="461"/>
      <c r="BJ87" s="461">
        <v>6.1045272723025219E-3</v>
      </c>
      <c r="BK87" s="480">
        <v>4.0702144123136913E-4</v>
      </c>
      <c r="BL87" s="461"/>
      <c r="BM87" s="461">
        <v>2.3250130405807201E-2</v>
      </c>
      <c r="BN87" s="461"/>
      <c r="BO87" s="461"/>
      <c r="BP87" s="461"/>
      <c r="BQ87" s="461"/>
      <c r="BR87" s="461"/>
      <c r="BS87" s="461"/>
      <c r="BT87" s="461"/>
      <c r="BU87" s="461"/>
      <c r="BV87" s="461"/>
      <c r="BW87" s="461"/>
      <c r="BX87" s="461">
        <v>2.8928761000026797E-3</v>
      </c>
      <c r="BY87" s="461">
        <v>4.9805349849575391E-3</v>
      </c>
      <c r="BZ87" s="461">
        <v>1.8431195496393511E-2</v>
      </c>
      <c r="CA87" s="461"/>
      <c r="CB87" s="461"/>
      <c r="CC87" s="461"/>
      <c r="CD87" s="461"/>
      <c r="CE87" s="461"/>
      <c r="CF87" s="461"/>
      <c r="CG87" s="461"/>
      <c r="CH87" s="461"/>
      <c r="CI87" s="461"/>
      <c r="CJ87" s="461"/>
      <c r="CK87" s="461"/>
      <c r="CL87" s="461"/>
      <c r="CM87" s="461"/>
      <c r="CN87" s="461"/>
      <c r="CO87" s="461"/>
      <c r="CP87" s="461"/>
      <c r="CQ87" s="461"/>
      <c r="CR87" s="461"/>
      <c r="CS87" s="461"/>
      <c r="CT87" s="461"/>
      <c r="CU87" s="461"/>
      <c r="CV87" s="461"/>
      <c r="CW87" s="461"/>
      <c r="CX87" s="461"/>
      <c r="CY87" s="461"/>
      <c r="CZ87" s="461"/>
      <c r="DA87" s="461"/>
      <c r="DB87" s="461"/>
      <c r="DC87" s="461"/>
      <c r="DD87" s="461"/>
      <c r="DE87" s="461"/>
      <c r="DF87" s="461"/>
      <c r="DG87" s="461"/>
      <c r="DH87" s="461"/>
      <c r="DI87" s="461"/>
      <c r="DJ87" s="461"/>
      <c r="DK87" s="461"/>
      <c r="DL87" s="461"/>
      <c r="DM87" s="461"/>
      <c r="DN87" s="461"/>
      <c r="DO87" s="461"/>
      <c r="DP87" s="461"/>
      <c r="DQ87" s="461"/>
      <c r="DR87" s="461"/>
      <c r="DS87" s="461"/>
      <c r="DT87" s="461"/>
      <c r="DU87" s="461"/>
      <c r="DV87" s="461"/>
      <c r="DW87" s="461"/>
      <c r="DX87" s="461"/>
      <c r="DY87" s="461"/>
      <c r="DZ87" s="461"/>
      <c r="EA87" s="461"/>
      <c r="EB87" s="461"/>
      <c r="EC87" s="461"/>
      <c r="ED87" s="461"/>
      <c r="EE87" s="461"/>
      <c r="EF87" s="461"/>
      <c r="EG87" s="461"/>
      <c r="EH87" s="461"/>
      <c r="EI87" s="461"/>
      <c r="EJ87" s="461"/>
      <c r="EK87" s="461"/>
      <c r="EL87" s="461"/>
      <c r="EM87" s="461"/>
      <c r="EN87" s="461"/>
      <c r="EO87" s="461"/>
      <c r="EP87" s="461"/>
      <c r="EQ87" s="461"/>
      <c r="ER87" s="461"/>
      <c r="ES87" s="461"/>
      <c r="ET87" s="461"/>
      <c r="EU87" s="461"/>
      <c r="EV87" s="461"/>
      <c r="EW87" s="461"/>
      <c r="EX87" s="461"/>
      <c r="EY87" s="461"/>
      <c r="EZ87" s="461"/>
      <c r="FA87" s="461"/>
      <c r="FB87" s="461"/>
      <c r="FC87" s="461"/>
      <c r="FD87" s="461"/>
      <c r="FE87" s="461"/>
      <c r="FF87" s="461"/>
      <c r="FG87" s="461"/>
      <c r="FH87" s="461"/>
      <c r="FI87" s="461"/>
      <c r="FJ87" s="461"/>
      <c r="FK87" s="461"/>
      <c r="FL87" s="461"/>
      <c r="FM87" s="461"/>
      <c r="FN87" s="461"/>
      <c r="FO87" s="461"/>
      <c r="FP87" s="461">
        <v>9.2608378432041172E-2</v>
      </c>
      <c r="FQ87" s="461">
        <v>0.10867166567048935</v>
      </c>
      <c r="FR87" s="461">
        <v>9.4994318640526557E-2</v>
      </c>
      <c r="FS87" s="461">
        <v>8.9604819283560844E-2</v>
      </c>
      <c r="FT87" s="461">
        <v>8.636715089428415E-2</v>
      </c>
      <c r="FU87" s="461">
        <v>7.9892312454239015E-2</v>
      </c>
      <c r="FV87" s="461">
        <v>7.742713323229633E-2</v>
      </c>
      <c r="FW87" s="461">
        <v>8.4378456899133716E-2</v>
      </c>
      <c r="FX87" s="461">
        <v>8.127939002166093E-2</v>
      </c>
      <c r="FY87" s="461">
        <v>0.11022106413983442</v>
      </c>
      <c r="FZ87" s="461"/>
      <c r="GA87" s="461"/>
      <c r="GB87" s="461"/>
      <c r="GC87" s="461"/>
      <c r="GD87" s="469"/>
      <c r="GE87" s="469"/>
      <c r="GF87" s="469"/>
      <c r="GG87" s="469"/>
      <c r="GH87" s="469"/>
      <c r="GI87" s="469"/>
      <c r="GJ87" s="469">
        <v>-0.44162145116527229</v>
      </c>
      <c r="GK87" s="469">
        <v>0.20260056211877103</v>
      </c>
      <c r="GL87" s="469">
        <v>2.2633780877495715</v>
      </c>
      <c r="GM87" s="458"/>
      <c r="GN87" s="464"/>
      <c r="GO87" s="470"/>
      <c r="GP87" s="468"/>
    </row>
    <row r="88" spans="1:198" x14ac:dyDescent="0.25">
      <c r="A88" s="465" t="s">
        <v>2294</v>
      </c>
      <c r="B88" s="461"/>
      <c r="C88" s="461"/>
      <c r="D88" s="461"/>
      <c r="E88" s="461">
        <v>0.4154789241568092</v>
      </c>
      <c r="F88" s="461"/>
      <c r="G88" s="461"/>
      <c r="H88" s="461"/>
      <c r="I88" s="461"/>
      <c r="J88" s="461"/>
      <c r="K88" s="461"/>
      <c r="L88" s="461"/>
      <c r="M88" s="461"/>
      <c r="N88" s="461"/>
      <c r="O88" s="461"/>
      <c r="P88" s="461"/>
      <c r="Q88" s="461"/>
      <c r="R88" s="461"/>
      <c r="S88" s="461"/>
      <c r="T88" s="461"/>
      <c r="U88" s="461"/>
      <c r="V88" s="461"/>
      <c r="W88" s="461"/>
      <c r="X88" s="461">
        <v>0.39089030895359289</v>
      </c>
      <c r="Y88" s="461">
        <v>4.3252454364861928E-3</v>
      </c>
      <c r="Z88" s="461"/>
      <c r="AA88" s="461"/>
      <c r="AB88" s="461"/>
      <c r="AC88" s="461"/>
      <c r="AD88" s="461">
        <v>0.33693136986607103</v>
      </c>
      <c r="AE88" s="461"/>
      <c r="AF88" s="461"/>
      <c r="AG88" s="461"/>
      <c r="AH88" s="461">
        <v>0.10951345055501557</v>
      </c>
      <c r="AI88" s="461">
        <v>0.29654598182648523</v>
      </c>
      <c r="AJ88" s="461"/>
      <c r="AK88" s="461"/>
      <c r="AL88" s="461"/>
      <c r="AM88" s="461"/>
      <c r="AN88" s="461"/>
      <c r="AO88" s="461"/>
      <c r="AP88" s="461"/>
      <c r="AQ88" s="461"/>
      <c r="AR88" s="461"/>
      <c r="AS88" s="461"/>
      <c r="AT88" s="461"/>
      <c r="AU88" s="461"/>
      <c r="AV88" s="461"/>
      <c r="AW88" s="461"/>
      <c r="AX88" s="461"/>
      <c r="AY88" s="461"/>
      <c r="AZ88" s="461"/>
      <c r="BA88" s="461"/>
      <c r="BB88" s="461"/>
      <c r="BC88" s="461"/>
      <c r="BD88" s="461"/>
      <c r="BE88" s="461"/>
      <c r="BF88" s="461"/>
      <c r="BG88" s="461"/>
      <c r="BH88" s="461"/>
      <c r="BI88" s="461"/>
      <c r="BJ88" s="461">
        <v>4.7253032619028128E-2</v>
      </c>
      <c r="BK88" s="480">
        <v>3.1678267193589126E-3</v>
      </c>
      <c r="BL88" s="461"/>
      <c r="BM88" s="461">
        <v>0.42724084386491906</v>
      </c>
      <c r="BN88" s="461"/>
      <c r="BO88" s="461">
        <v>5.6249510493294734E-2</v>
      </c>
      <c r="BP88" s="461">
        <v>7.7873249889201919E-5</v>
      </c>
      <c r="BQ88" s="461">
        <v>2.6041134918920077E-4</v>
      </c>
      <c r="BR88" s="461">
        <v>4.7178822078354915E-5</v>
      </c>
      <c r="BS88" s="461">
        <v>4.3465211638284464E-5</v>
      </c>
      <c r="BT88" s="461"/>
      <c r="BU88" s="461">
        <v>1.1267341406098694E-4</v>
      </c>
      <c r="BV88" s="461">
        <v>7.292082381563578E-6</v>
      </c>
      <c r="BW88" s="461"/>
      <c r="BX88" s="461">
        <v>2.2459758826906998E-2</v>
      </c>
      <c r="BY88" s="461">
        <v>3.8593160493760569E-2</v>
      </c>
      <c r="BZ88" s="461">
        <v>0.14096040820507935</v>
      </c>
      <c r="CA88" s="461"/>
      <c r="CB88" s="461"/>
      <c r="CC88" s="461"/>
      <c r="CD88" s="461"/>
      <c r="CE88" s="461"/>
      <c r="CF88" s="461"/>
      <c r="CG88" s="461"/>
      <c r="CH88" s="461"/>
      <c r="CI88" s="461"/>
      <c r="CJ88" s="461"/>
      <c r="CK88" s="461"/>
      <c r="CL88" s="461"/>
      <c r="CM88" s="461"/>
      <c r="CN88" s="461"/>
      <c r="CO88" s="461"/>
      <c r="CP88" s="461"/>
      <c r="CQ88" s="461"/>
      <c r="CR88" s="461"/>
      <c r="CS88" s="461"/>
      <c r="CT88" s="461"/>
      <c r="CU88" s="461"/>
      <c r="CV88" s="461"/>
      <c r="CW88" s="461"/>
      <c r="CX88" s="461"/>
      <c r="CY88" s="461"/>
      <c r="CZ88" s="461"/>
      <c r="DA88" s="461"/>
      <c r="DB88" s="461"/>
      <c r="DC88" s="461"/>
      <c r="DD88" s="461"/>
      <c r="DE88" s="461"/>
      <c r="DF88" s="461"/>
      <c r="DG88" s="461"/>
      <c r="DH88" s="461"/>
      <c r="DI88" s="461"/>
      <c r="DJ88" s="461"/>
      <c r="DK88" s="461"/>
      <c r="DL88" s="461"/>
      <c r="DM88" s="461"/>
      <c r="DN88" s="461"/>
      <c r="DO88" s="461"/>
      <c r="DP88" s="461"/>
      <c r="DQ88" s="461"/>
      <c r="DR88" s="461"/>
      <c r="DS88" s="461"/>
      <c r="DT88" s="461"/>
      <c r="DU88" s="461"/>
      <c r="DV88" s="461"/>
      <c r="DW88" s="461"/>
      <c r="DX88" s="461"/>
      <c r="DY88" s="461"/>
      <c r="DZ88" s="461"/>
      <c r="EA88" s="461"/>
      <c r="EB88" s="461"/>
      <c r="EC88" s="461"/>
      <c r="ED88" s="461"/>
      <c r="EE88" s="461"/>
      <c r="EF88" s="461"/>
      <c r="EG88" s="461"/>
      <c r="EH88" s="461"/>
      <c r="EI88" s="461"/>
      <c r="EJ88" s="461"/>
      <c r="EK88" s="461"/>
      <c r="EL88" s="461"/>
      <c r="EM88" s="461"/>
      <c r="EN88" s="461"/>
      <c r="EO88" s="461"/>
      <c r="EP88" s="461"/>
      <c r="EQ88" s="461"/>
      <c r="ER88" s="461"/>
      <c r="ES88" s="461"/>
      <c r="ET88" s="461"/>
      <c r="EU88" s="461"/>
      <c r="EV88" s="461"/>
      <c r="EW88" s="461"/>
      <c r="EX88" s="461"/>
      <c r="EY88" s="461"/>
      <c r="EZ88" s="461"/>
      <c r="FA88" s="461"/>
      <c r="FB88" s="461"/>
      <c r="FC88" s="461"/>
      <c r="FD88" s="461"/>
      <c r="FE88" s="461"/>
      <c r="FF88" s="461"/>
      <c r="FG88" s="461"/>
      <c r="FH88" s="461"/>
      <c r="FI88" s="461"/>
      <c r="FJ88" s="461"/>
      <c r="FK88" s="461"/>
      <c r="FL88" s="461"/>
      <c r="FM88" s="461"/>
      <c r="FN88" s="461"/>
      <c r="FO88" s="461"/>
      <c r="FP88" s="461">
        <v>1.4506578372232652</v>
      </c>
      <c r="FQ88" s="461">
        <v>1.6431242272152697</v>
      </c>
      <c r="FR88" s="461">
        <v>1.4811517394714058</v>
      </c>
      <c r="FS88" s="461">
        <v>1.4142762905529724</v>
      </c>
      <c r="FT88" s="461">
        <v>1.3741829175374836</v>
      </c>
      <c r="FU88" s="461">
        <v>1.2896498774390119</v>
      </c>
      <c r="FV88" s="461">
        <v>1.2570000438489159</v>
      </c>
      <c r="FW88" s="461">
        <v>1.350326592108279</v>
      </c>
      <c r="FX88" s="461">
        <v>1.3096344595925726</v>
      </c>
      <c r="FY88" s="461">
        <v>1.6656840164015396</v>
      </c>
      <c r="FZ88" s="461"/>
      <c r="GA88" s="461"/>
      <c r="GB88" s="461"/>
      <c r="GC88" s="461"/>
      <c r="GD88" s="469"/>
      <c r="GE88" s="469"/>
      <c r="GF88" s="469"/>
      <c r="GG88" s="469"/>
      <c r="GH88" s="469"/>
      <c r="GI88" s="469"/>
      <c r="GJ88" s="469">
        <v>1.8505209782840655</v>
      </c>
      <c r="GK88" s="469">
        <v>0.96609807776656409</v>
      </c>
      <c r="GL88" s="469">
        <v>19.342465773587392</v>
      </c>
      <c r="GM88" s="458"/>
      <c r="GN88" s="464"/>
      <c r="GO88" s="470"/>
      <c r="GP88" s="468"/>
    </row>
    <row r="89" spans="1:198" x14ac:dyDescent="0.25">
      <c r="A89" s="465" t="s">
        <v>2295</v>
      </c>
      <c r="B89" s="461"/>
      <c r="C89" s="461"/>
      <c r="D89" s="461"/>
      <c r="E89" s="461"/>
      <c r="F89" s="461">
        <v>0.10787814998561575</v>
      </c>
      <c r="G89" s="461"/>
      <c r="H89" s="461"/>
      <c r="I89" s="461"/>
      <c r="J89" s="461"/>
      <c r="K89" s="461"/>
      <c r="L89" s="461"/>
      <c r="M89" s="461"/>
      <c r="N89" s="461"/>
      <c r="O89" s="461"/>
      <c r="P89" s="461"/>
      <c r="Q89" s="461"/>
      <c r="R89" s="461"/>
      <c r="S89" s="461"/>
      <c r="T89" s="461"/>
      <c r="U89" s="461"/>
      <c r="V89" s="461"/>
      <c r="W89" s="461"/>
      <c r="X89" s="461">
        <v>0.93230444839410009</v>
      </c>
      <c r="Y89" s="461">
        <v>8.6525920086824235E-3</v>
      </c>
      <c r="Z89" s="461">
        <v>0.19074988687092895</v>
      </c>
      <c r="AA89" s="461"/>
      <c r="AB89" s="461"/>
      <c r="AC89" s="461"/>
      <c r="AD89" s="461">
        <v>1.1524539170035402</v>
      </c>
      <c r="AE89" s="461"/>
      <c r="AF89" s="461"/>
      <c r="AG89" s="461"/>
      <c r="AH89" s="461">
        <v>0.25704460623022035</v>
      </c>
      <c r="AI89" s="461">
        <v>1.7812729188261538</v>
      </c>
      <c r="AJ89" s="461"/>
      <c r="AK89" s="461"/>
      <c r="AL89" s="461"/>
      <c r="AM89" s="461"/>
      <c r="AN89" s="461"/>
      <c r="AO89" s="461"/>
      <c r="AP89" s="461"/>
      <c r="AQ89" s="461"/>
      <c r="AR89" s="461"/>
      <c r="AS89" s="461"/>
      <c r="AT89" s="461"/>
      <c r="AU89" s="461"/>
      <c r="AV89" s="461"/>
      <c r="AW89" s="461"/>
      <c r="AX89" s="461"/>
      <c r="AY89" s="461"/>
      <c r="AZ89" s="461"/>
      <c r="BA89" s="461"/>
      <c r="BB89" s="461"/>
      <c r="BC89" s="461"/>
      <c r="BD89" s="461"/>
      <c r="BE89" s="461"/>
      <c r="BF89" s="461"/>
      <c r="BG89" s="461"/>
      <c r="BH89" s="461"/>
      <c r="BI89" s="461"/>
      <c r="BJ89" s="461">
        <v>0.11057878219207302</v>
      </c>
      <c r="BK89" s="480">
        <v>7.3971589017845759E-3</v>
      </c>
      <c r="BL89" s="461"/>
      <c r="BM89" s="461">
        <v>1.6936258720854089</v>
      </c>
      <c r="BN89" s="461"/>
      <c r="BO89" s="461">
        <v>0.13167764648656596</v>
      </c>
      <c r="BP89" s="461">
        <v>1.8181613196870572E-4</v>
      </c>
      <c r="BQ89" s="461">
        <v>6.080008645417247E-4</v>
      </c>
      <c r="BR89" s="461">
        <v>1.1015011435475386E-4</v>
      </c>
      <c r="BS89" s="461">
        <v>1.0147980329415245E-4</v>
      </c>
      <c r="BT89" s="461"/>
      <c r="BU89" s="461">
        <v>2.630636883772627E-4</v>
      </c>
      <c r="BV89" s="461">
        <v>1.7025077287484349E-5</v>
      </c>
      <c r="BW89" s="461"/>
      <c r="BX89" s="461">
        <v>5.2492311986300728E-2</v>
      </c>
      <c r="BY89" s="461">
        <v>9.0272645110002395E-2</v>
      </c>
      <c r="BZ89" s="461">
        <v>0.33133737922474377</v>
      </c>
      <c r="CA89" s="461"/>
      <c r="CB89" s="461"/>
      <c r="CC89" s="461"/>
      <c r="CD89" s="461"/>
      <c r="CE89" s="461"/>
      <c r="CF89" s="461"/>
      <c r="CG89" s="461"/>
      <c r="CH89" s="461"/>
      <c r="CI89" s="461"/>
      <c r="CJ89" s="461"/>
      <c r="CK89" s="461"/>
      <c r="CL89" s="461"/>
      <c r="CM89" s="461"/>
      <c r="CN89" s="461"/>
      <c r="CO89" s="461"/>
      <c r="CP89" s="461"/>
      <c r="CQ89" s="461"/>
      <c r="CR89" s="461"/>
      <c r="CS89" s="461"/>
      <c r="CT89" s="461"/>
      <c r="CU89" s="461"/>
      <c r="CV89" s="461"/>
      <c r="CW89" s="461"/>
      <c r="CX89" s="461"/>
      <c r="CY89" s="461"/>
      <c r="CZ89" s="461"/>
      <c r="DA89" s="461"/>
      <c r="DB89" s="461"/>
      <c r="DC89" s="461"/>
      <c r="DD89" s="461"/>
      <c r="DE89" s="461"/>
      <c r="DF89" s="461"/>
      <c r="DG89" s="461"/>
      <c r="DH89" s="461"/>
      <c r="DI89" s="461"/>
      <c r="DJ89" s="461"/>
      <c r="DK89" s="461"/>
      <c r="DL89" s="461"/>
      <c r="DM89" s="461"/>
      <c r="DN89" s="461"/>
      <c r="DO89" s="461"/>
      <c r="DP89" s="461"/>
      <c r="DQ89" s="461"/>
      <c r="DR89" s="461"/>
      <c r="DS89" s="461"/>
      <c r="DT89" s="461"/>
      <c r="DU89" s="461"/>
      <c r="DV89" s="461"/>
      <c r="DW89" s="461"/>
      <c r="DX89" s="461"/>
      <c r="DY89" s="461"/>
      <c r="DZ89" s="461"/>
      <c r="EA89" s="461"/>
      <c r="EB89" s="461"/>
      <c r="EC89" s="461"/>
      <c r="ED89" s="461"/>
      <c r="EE89" s="461"/>
      <c r="EF89" s="461"/>
      <c r="EG89" s="461"/>
      <c r="EH89" s="461"/>
      <c r="EI89" s="461"/>
      <c r="EJ89" s="461"/>
      <c r="EK89" s="461"/>
      <c r="EL89" s="461"/>
      <c r="EM89" s="461"/>
      <c r="EN89" s="461"/>
      <c r="EO89" s="461"/>
      <c r="EP89" s="461"/>
      <c r="EQ89" s="461"/>
      <c r="ER89" s="461"/>
      <c r="ES89" s="461"/>
      <c r="ET89" s="461"/>
      <c r="EU89" s="461"/>
      <c r="EV89" s="461"/>
      <c r="EW89" s="461"/>
      <c r="EX89" s="461"/>
      <c r="EY89" s="461"/>
      <c r="EZ89" s="461"/>
      <c r="FA89" s="461"/>
      <c r="FB89" s="461"/>
      <c r="FC89" s="461"/>
      <c r="FD89" s="461"/>
      <c r="FE89" s="461"/>
      <c r="FF89" s="461"/>
      <c r="FG89" s="461"/>
      <c r="FH89" s="461"/>
      <c r="FI89" s="461"/>
      <c r="FJ89" s="461"/>
      <c r="FK89" s="461"/>
      <c r="FL89" s="461"/>
      <c r="FM89" s="461"/>
      <c r="FN89" s="461"/>
      <c r="FO89" s="461"/>
      <c r="FP89" s="461">
        <v>1.7325620145901948</v>
      </c>
      <c r="FQ89" s="461">
        <v>2.0131570214441132</v>
      </c>
      <c r="FR89" s="461">
        <v>1.7754190879886109</v>
      </c>
      <c r="FS89" s="461">
        <v>1.6813579731392587</v>
      </c>
      <c r="FT89" s="461">
        <v>1.6257320477451351</v>
      </c>
      <c r="FU89" s="461">
        <v>1.5113220040565452</v>
      </c>
      <c r="FV89" s="461">
        <v>1.4678053144013119</v>
      </c>
      <c r="FW89" s="461">
        <v>1.5928414060053511</v>
      </c>
      <c r="FX89" s="461">
        <v>1.5378724080542709</v>
      </c>
      <c r="FY89" s="461">
        <v>2.0466406641789718</v>
      </c>
      <c r="FZ89" s="461"/>
      <c r="GA89" s="461"/>
      <c r="GB89" s="461"/>
      <c r="GC89" s="461"/>
      <c r="GD89" s="469"/>
      <c r="GE89" s="469"/>
      <c r="GF89" s="469"/>
      <c r="GG89" s="469"/>
      <c r="GH89" s="469"/>
      <c r="GI89" s="469"/>
      <c r="GJ89" s="469">
        <v>5.3862718795493478</v>
      </c>
      <c r="GK89" s="469">
        <v>13.693634979868063</v>
      </c>
      <c r="GL89" s="469">
        <v>42.913636652007121</v>
      </c>
      <c r="GM89" s="458"/>
      <c r="GN89" s="464"/>
      <c r="GO89" s="470"/>
      <c r="GP89" s="468"/>
    </row>
    <row r="90" spans="1:198" x14ac:dyDescent="0.25">
      <c r="A90" s="465" t="s">
        <v>2296</v>
      </c>
      <c r="B90" s="461"/>
      <c r="C90" s="461"/>
      <c r="D90" s="461"/>
      <c r="E90" s="461"/>
      <c r="F90" s="461"/>
      <c r="G90" s="461">
        <v>4.1089767622474141E-2</v>
      </c>
      <c r="H90" s="461"/>
      <c r="I90" s="461"/>
      <c r="J90" s="461"/>
      <c r="K90" s="461"/>
      <c r="L90" s="461"/>
      <c r="M90" s="461"/>
      <c r="N90" s="461"/>
      <c r="O90" s="461"/>
      <c r="P90" s="461"/>
      <c r="Q90" s="461"/>
      <c r="R90" s="461"/>
      <c r="S90" s="461"/>
      <c r="T90" s="461"/>
      <c r="U90" s="461"/>
      <c r="V90" s="461"/>
      <c r="W90" s="461"/>
      <c r="X90" s="461">
        <v>0.35463802986635889</v>
      </c>
      <c r="Y90" s="461"/>
      <c r="Z90" s="461"/>
      <c r="AA90" s="461"/>
      <c r="AB90" s="461"/>
      <c r="AC90" s="461"/>
      <c r="AD90" s="461">
        <v>0.30655777060687123</v>
      </c>
      <c r="AE90" s="461"/>
      <c r="AF90" s="461"/>
      <c r="AG90" s="461"/>
      <c r="AH90" s="461">
        <v>9.8068012235334304E-2</v>
      </c>
      <c r="AI90" s="461">
        <v>6.8888720365608593</v>
      </c>
      <c r="AJ90" s="461"/>
      <c r="AK90" s="461"/>
      <c r="AL90" s="461"/>
      <c r="AM90" s="461"/>
      <c r="AN90" s="461"/>
      <c r="AO90" s="461"/>
      <c r="AP90" s="461"/>
      <c r="AQ90" s="461"/>
      <c r="AR90" s="461"/>
      <c r="AS90" s="461"/>
      <c r="AT90" s="461"/>
      <c r="AU90" s="461"/>
      <c r="AV90" s="461"/>
      <c r="AW90" s="461"/>
      <c r="AX90" s="461"/>
      <c r="AY90" s="461"/>
      <c r="AZ90" s="461"/>
      <c r="BA90" s="461"/>
      <c r="BB90" s="461"/>
      <c r="BC90" s="461"/>
      <c r="BD90" s="461"/>
      <c r="BE90" s="461"/>
      <c r="BF90" s="461"/>
      <c r="BG90" s="461"/>
      <c r="BH90" s="461"/>
      <c r="BI90" s="461"/>
      <c r="BJ90" s="461">
        <v>4.216242124543744E-2</v>
      </c>
      <c r="BK90" s="480">
        <v>2.8175120327828132E-3</v>
      </c>
      <c r="BL90" s="461"/>
      <c r="BM90" s="461">
        <v>0.58498342230089595</v>
      </c>
      <c r="BN90" s="461"/>
      <c r="BO90" s="461">
        <v>5.0210308512802629E-2</v>
      </c>
      <c r="BP90" s="461">
        <v>6.9247325682207083E-5</v>
      </c>
      <c r="BQ90" s="461">
        <v>2.3156589662772547E-4</v>
      </c>
      <c r="BR90" s="461">
        <v>4.1952141853269041E-5</v>
      </c>
      <c r="BS90" s="461">
        <v>3.8649942031584889E-5</v>
      </c>
      <c r="BT90" s="461"/>
      <c r="BU90" s="461">
        <v>1.001911306880644E-4</v>
      </c>
      <c r="BV90" s="461">
        <v>6.4842009617303746E-6</v>
      </c>
      <c r="BW90" s="461"/>
      <c r="BX90" s="461">
        <v>2.0002485677491275E-2</v>
      </c>
      <c r="BY90" s="461">
        <v>3.4413197632998389E-2</v>
      </c>
      <c r="BZ90" s="461">
        <v>0.12661231729036496</v>
      </c>
      <c r="CA90" s="461"/>
      <c r="CB90" s="461"/>
      <c r="CC90" s="461"/>
      <c r="CD90" s="461"/>
      <c r="CE90" s="461"/>
      <c r="CF90" s="461"/>
      <c r="CG90" s="461"/>
      <c r="CH90" s="461"/>
      <c r="CI90" s="461"/>
      <c r="CJ90" s="461"/>
      <c r="CK90" s="461"/>
      <c r="CL90" s="461"/>
      <c r="CM90" s="461"/>
      <c r="CN90" s="461"/>
      <c r="CO90" s="461"/>
      <c r="CP90" s="461"/>
      <c r="CQ90" s="461"/>
      <c r="CR90" s="461"/>
      <c r="CS90" s="461"/>
      <c r="CT90" s="461"/>
      <c r="CU90" s="461"/>
      <c r="CV90" s="461"/>
      <c r="CW90" s="461"/>
      <c r="CX90" s="461"/>
      <c r="CY90" s="461"/>
      <c r="CZ90" s="461"/>
      <c r="DA90" s="461"/>
      <c r="DB90" s="461"/>
      <c r="DC90" s="461"/>
      <c r="DD90" s="461"/>
      <c r="DE90" s="461"/>
      <c r="DF90" s="461"/>
      <c r="DG90" s="461"/>
      <c r="DH90" s="461"/>
      <c r="DI90" s="461"/>
      <c r="DJ90" s="461"/>
      <c r="DK90" s="461"/>
      <c r="DL90" s="461"/>
      <c r="DM90" s="461"/>
      <c r="DN90" s="461"/>
      <c r="DO90" s="461"/>
      <c r="DP90" s="461"/>
      <c r="DQ90" s="461"/>
      <c r="DR90" s="461"/>
      <c r="DS90" s="461"/>
      <c r="DT90" s="461"/>
      <c r="DU90" s="461"/>
      <c r="DV90" s="461"/>
      <c r="DW90" s="461"/>
      <c r="DX90" s="461"/>
      <c r="DY90" s="461"/>
      <c r="DZ90" s="461"/>
      <c r="EA90" s="461"/>
      <c r="EB90" s="461"/>
      <c r="EC90" s="461"/>
      <c r="ED90" s="461"/>
      <c r="EE90" s="461"/>
      <c r="EF90" s="461"/>
      <c r="EG90" s="461"/>
      <c r="EH90" s="461"/>
      <c r="EI90" s="461"/>
      <c r="EJ90" s="461"/>
      <c r="EK90" s="461"/>
      <c r="EL90" s="461"/>
      <c r="EM90" s="461"/>
      <c r="EN90" s="461"/>
      <c r="EO90" s="461"/>
      <c r="EP90" s="461"/>
      <c r="EQ90" s="461"/>
      <c r="ER90" s="461"/>
      <c r="ES90" s="461"/>
      <c r="ET90" s="461"/>
      <c r="EU90" s="461"/>
      <c r="EV90" s="461"/>
      <c r="EW90" s="461"/>
      <c r="EX90" s="461"/>
      <c r="EY90" s="461"/>
      <c r="EZ90" s="461"/>
      <c r="FA90" s="461"/>
      <c r="FB90" s="461"/>
      <c r="FC90" s="461"/>
      <c r="FD90" s="461"/>
      <c r="FE90" s="461"/>
      <c r="FF90" s="461"/>
      <c r="FG90" s="461"/>
      <c r="FH90" s="461"/>
      <c r="FI90" s="461"/>
      <c r="FJ90" s="461"/>
      <c r="FK90" s="461"/>
      <c r="FL90" s="461"/>
      <c r="FM90" s="461"/>
      <c r="FN90" s="461"/>
      <c r="FO90" s="461"/>
      <c r="FP90" s="461">
        <v>8.6389984064011979E-2</v>
      </c>
      <c r="FQ90" s="461">
        <v>0.10074632214905227</v>
      </c>
      <c r="FR90" s="461">
        <v>8.8536343236991319E-2</v>
      </c>
      <c r="FS90" s="461">
        <v>8.3691701247430833E-2</v>
      </c>
      <c r="FT90" s="461">
        <v>8.0774938256242587E-2</v>
      </c>
      <c r="FU90" s="461">
        <v>7.491228101774261E-2</v>
      </c>
      <c r="FV90" s="461">
        <v>7.2673125409151468E-2</v>
      </c>
      <c r="FW90" s="461">
        <v>7.8981852028795832E-2</v>
      </c>
      <c r="FX90" s="461">
        <v>7.6173660197148024E-2</v>
      </c>
      <c r="FY90" s="461">
        <v>0.10213676093956649</v>
      </c>
      <c r="FZ90" s="461"/>
      <c r="GA90" s="461"/>
      <c r="GB90" s="461"/>
      <c r="GC90" s="461"/>
      <c r="GD90" s="469"/>
      <c r="GE90" s="469"/>
      <c r="GF90" s="469"/>
      <c r="GG90" s="469"/>
      <c r="GH90" s="469"/>
      <c r="GI90" s="469"/>
      <c r="GJ90" s="469">
        <v>2.0725981603240959</v>
      </c>
      <c r="GK90" s="469">
        <v>4.201399018113972</v>
      </c>
      <c r="GL90" s="469">
        <v>15.669929519206715</v>
      </c>
      <c r="GM90" s="458"/>
      <c r="GN90" s="464"/>
      <c r="GO90" s="470"/>
      <c r="GP90" s="468"/>
    </row>
    <row r="91" spans="1:198" x14ac:dyDescent="0.25">
      <c r="A91" s="465" t="s">
        <v>2297</v>
      </c>
      <c r="B91" s="461"/>
      <c r="C91" s="461"/>
      <c r="D91" s="461"/>
      <c r="E91" s="461"/>
      <c r="F91" s="461"/>
      <c r="G91" s="461"/>
      <c r="H91" s="461">
        <v>0.32319382432854893</v>
      </c>
      <c r="I91" s="461"/>
      <c r="J91" s="461"/>
      <c r="K91" s="461"/>
      <c r="L91" s="461"/>
      <c r="M91" s="461">
        <v>1.5487431228146467E-3</v>
      </c>
      <c r="N91" s="461"/>
      <c r="O91" s="461"/>
      <c r="P91" s="461"/>
      <c r="Q91" s="461"/>
      <c r="R91" s="461"/>
      <c r="S91" s="461"/>
      <c r="T91" s="461"/>
      <c r="U91" s="461"/>
      <c r="V91" s="461"/>
      <c r="W91" s="461"/>
      <c r="X91" s="461"/>
      <c r="Y91" s="461">
        <v>0.63370489072272451</v>
      </c>
      <c r="Z91" s="461">
        <v>7.2278483495883269E-2</v>
      </c>
      <c r="AA91" s="461"/>
      <c r="AB91" s="461"/>
      <c r="AC91" s="461">
        <v>6.0938847403971307E-4</v>
      </c>
      <c r="AD91" s="461">
        <v>6.1525696615367851</v>
      </c>
      <c r="AE91" s="461"/>
      <c r="AF91" s="461"/>
      <c r="AG91" s="461"/>
      <c r="AH91" s="461">
        <v>9.7851151016453503E-2</v>
      </c>
      <c r="AI91" s="461">
        <v>0.30819110167796587</v>
      </c>
      <c r="AJ91" s="461"/>
      <c r="AK91" s="461"/>
      <c r="AL91" s="461"/>
      <c r="AM91" s="461"/>
      <c r="AN91" s="461"/>
      <c r="AO91" s="461"/>
      <c r="AP91" s="461"/>
      <c r="AQ91" s="461"/>
      <c r="AR91" s="461"/>
      <c r="AS91" s="461"/>
      <c r="AT91" s="461"/>
      <c r="AU91" s="461"/>
      <c r="AV91" s="461"/>
      <c r="AW91" s="461"/>
      <c r="AX91" s="461"/>
      <c r="AY91" s="461"/>
      <c r="AZ91" s="461"/>
      <c r="BA91" s="461"/>
      <c r="BB91" s="461"/>
      <c r="BC91" s="461"/>
      <c r="BD91" s="461"/>
      <c r="BE91" s="461"/>
      <c r="BF91" s="461"/>
      <c r="BG91" s="461"/>
      <c r="BH91" s="461"/>
      <c r="BI91" s="461"/>
      <c r="BJ91" s="461">
        <v>4.1912367262587243E-2</v>
      </c>
      <c r="BK91" s="480">
        <v>2.7941404369602372E-3</v>
      </c>
      <c r="BL91" s="461"/>
      <c r="BM91" s="461">
        <v>0.12374465340060771</v>
      </c>
      <c r="BN91" s="461"/>
      <c r="BO91" s="461">
        <v>4.9937032145417615E-2</v>
      </c>
      <c r="BP91" s="461">
        <v>6.8662455380620935E-5</v>
      </c>
      <c r="BQ91" s="461">
        <v>2.2961006929682413E-4</v>
      </c>
      <c r="BR91" s="461">
        <v>4.159722344858963E-5</v>
      </c>
      <c r="BS91" s="461">
        <v>3.8322960504414025E-5</v>
      </c>
      <c r="BT91" s="461"/>
      <c r="BU91" s="461">
        <v>9.9343669563216477E-5</v>
      </c>
      <c r="BV91" s="461">
        <v>6.4293201009378477E-6</v>
      </c>
      <c r="BW91" s="461"/>
      <c r="BX91" s="461">
        <v>1.9858481145998488E-2</v>
      </c>
      <c r="BY91" s="461">
        <v>3.4193245079417643E-2</v>
      </c>
      <c r="BZ91" s="461">
        <v>0.12653377349316353</v>
      </c>
      <c r="CA91" s="461"/>
      <c r="CB91" s="461"/>
      <c r="CC91" s="461"/>
      <c r="CD91" s="461"/>
      <c r="CE91" s="461"/>
      <c r="CF91" s="461"/>
      <c r="CG91" s="461"/>
      <c r="CH91" s="461"/>
      <c r="CI91" s="461"/>
      <c r="CJ91" s="461"/>
      <c r="CK91" s="461"/>
      <c r="CL91" s="461"/>
      <c r="CM91" s="461"/>
      <c r="CN91" s="461"/>
      <c r="CO91" s="461"/>
      <c r="CP91" s="461"/>
      <c r="CQ91" s="461"/>
      <c r="CR91" s="461"/>
      <c r="CS91" s="461"/>
      <c r="CT91" s="461"/>
      <c r="CU91" s="461"/>
      <c r="CV91" s="461"/>
      <c r="CW91" s="461"/>
      <c r="CX91" s="461"/>
      <c r="CY91" s="461"/>
      <c r="CZ91" s="461"/>
      <c r="DA91" s="461"/>
      <c r="DB91" s="461"/>
      <c r="DC91" s="461"/>
      <c r="DD91" s="461"/>
      <c r="DE91" s="461"/>
      <c r="DF91" s="461"/>
      <c r="DG91" s="461"/>
      <c r="DH91" s="461"/>
      <c r="DI91" s="461"/>
      <c r="DJ91" s="461"/>
      <c r="DK91" s="461"/>
      <c r="DL91" s="461"/>
      <c r="DM91" s="461"/>
      <c r="DN91" s="461"/>
      <c r="DO91" s="461"/>
      <c r="DP91" s="461"/>
      <c r="DQ91" s="461"/>
      <c r="DR91" s="461"/>
      <c r="DS91" s="461"/>
      <c r="DT91" s="461"/>
      <c r="DU91" s="461"/>
      <c r="DV91" s="461"/>
      <c r="DW91" s="461"/>
      <c r="DX91" s="461"/>
      <c r="DY91" s="461"/>
      <c r="DZ91" s="461"/>
      <c r="EA91" s="461"/>
      <c r="EB91" s="461"/>
      <c r="EC91" s="461"/>
      <c r="ED91" s="461"/>
      <c r="EE91" s="461"/>
      <c r="EF91" s="461"/>
      <c r="EG91" s="461"/>
      <c r="EH91" s="461"/>
      <c r="EI91" s="461"/>
      <c r="EJ91" s="461"/>
      <c r="EK91" s="461"/>
      <c r="EL91" s="461"/>
      <c r="EM91" s="461"/>
      <c r="EN91" s="461"/>
      <c r="EO91" s="461"/>
      <c r="EP91" s="461"/>
      <c r="EQ91" s="461"/>
      <c r="ER91" s="461"/>
      <c r="ES91" s="461"/>
      <c r="ET91" s="461"/>
      <c r="EU91" s="461"/>
      <c r="EV91" s="461"/>
      <c r="EW91" s="461"/>
      <c r="EX91" s="461"/>
      <c r="EY91" s="461"/>
      <c r="EZ91" s="461"/>
      <c r="FA91" s="461"/>
      <c r="FB91" s="461"/>
      <c r="FC91" s="461"/>
      <c r="FD91" s="461"/>
      <c r="FE91" s="461"/>
      <c r="FF91" s="461"/>
      <c r="FG91" s="461"/>
      <c r="FH91" s="461"/>
      <c r="FI91" s="461"/>
      <c r="FJ91" s="461"/>
      <c r="FK91" s="461"/>
      <c r="FL91" s="461"/>
      <c r="FM91" s="461"/>
      <c r="FN91" s="461"/>
      <c r="FO91" s="461"/>
      <c r="FP91" s="461">
        <v>0.89186242608833133</v>
      </c>
      <c r="FQ91" s="461">
        <v>1.0487769673800673</v>
      </c>
      <c r="FR91" s="461">
        <v>0.91672686353088584</v>
      </c>
      <c r="FS91" s="461">
        <v>0.86576320419860853</v>
      </c>
      <c r="FT91" s="461">
        <v>0.83697752854391672</v>
      </c>
      <c r="FU91" s="461">
        <v>0.77526265053891685</v>
      </c>
      <c r="FV91" s="461">
        <v>0.7521593687032897</v>
      </c>
      <c r="FW91" s="461">
        <v>0.82065851863469175</v>
      </c>
      <c r="FX91" s="461">
        <v>0.79036320812935834</v>
      </c>
      <c r="FY91" s="461">
        <v>1.0727228644767985</v>
      </c>
      <c r="FZ91" s="461"/>
      <c r="GA91" s="461"/>
      <c r="GB91" s="461"/>
      <c r="GC91" s="461"/>
      <c r="GD91" s="469"/>
      <c r="GE91" s="469"/>
      <c r="GF91" s="469"/>
      <c r="GG91" s="469"/>
      <c r="GH91" s="469"/>
      <c r="GI91" s="469"/>
      <c r="GJ91" s="469">
        <v>-1.3521860551752889</v>
      </c>
      <c r="GK91" s="469">
        <v>6.7883377503278691E-2</v>
      </c>
      <c r="GL91" s="469">
        <v>15.476375825590523</v>
      </c>
      <c r="GM91" s="458"/>
      <c r="GN91" s="464"/>
      <c r="GO91" s="470"/>
      <c r="GP91" s="468"/>
    </row>
    <row r="92" spans="1:198" x14ac:dyDescent="0.25">
      <c r="A92" s="465" t="s">
        <v>2298</v>
      </c>
      <c r="B92" s="461"/>
      <c r="C92" s="461"/>
      <c r="D92" s="461"/>
      <c r="E92" s="461"/>
      <c r="F92" s="461"/>
      <c r="G92" s="461"/>
      <c r="H92" s="461"/>
      <c r="I92" s="461">
        <v>0.67555393895956573</v>
      </c>
      <c r="J92" s="461"/>
      <c r="K92" s="461"/>
      <c r="L92" s="461"/>
      <c r="M92" s="461"/>
      <c r="N92" s="461"/>
      <c r="O92" s="461"/>
      <c r="P92" s="461"/>
      <c r="Q92" s="461"/>
      <c r="R92" s="461"/>
      <c r="S92" s="461"/>
      <c r="T92" s="461"/>
      <c r="U92" s="461"/>
      <c r="V92" s="461"/>
      <c r="W92" s="461"/>
      <c r="X92" s="461">
        <v>0.23740250838573479</v>
      </c>
      <c r="Y92" s="461"/>
      <c r="Z92" s="461"/>
      <c r="AA92" s="461"/>
      <c r="AB92" s="461">
        <v>1.1810176469567144</v>
      </c>
      <c r="AC92" s="461"/>
      <c r="AD92" s="461">
        <v>1.3665671134549067</v>
      </c>
      <c r="AE92" s="461"/>
      <c r="AF92" s="461"/>
      <c r="AG92" s="461"/>
      <c r="AH92" s="461">
        <v>6.5349272587861967E-2</v>
      </c>
      <c r="AI92" s="461"/>
      <c r="AJ92" s="461"/>
      <c r="AK92" s="461"/>
      <c r="AL92" s="461"/>
      <c r="AM92" s="461"/>
      <c r="AN92" s="461"/>
      <c r="AO92" s="461"/>
      <c r="AP92" s="461"/>
      <c r="AQ92" s="461"/>
      <c r="AR92" s="461"/>
      <c r="AS92" s="461"/>
      <c r="AT92" s="461"/>
      <c r="AU92" s="461"/>
      <c r="AV92" s="461"/>
      <c r="AW92" s="461"/>
      <c r="AX92" s="461"/>
      <c r="AY92" s="461"/>
      <c r="AZ92" s="461"/>
      <c r="BA92" s="461"/>
      <c r="BB92" s="461"/>
      <c r="BC92" s="461"/>
      <c r="BD92" s="461"/>
      <c r="BE92" s="461"/>
      <c r="BF92" s="461"/>
      <c r="BG92" s="461"/>
      <c r="BH92" s="461"/>
      <c r="BI92" s="461"/>
      <c r="BJ92" s="461">
        <v>2.8075121909841079E-2</v>
      </c>
      <c r="BK92" s="480">
        <v>1.8758097936701806E-3</v>
      </c>
      <c r="BL92" s="461"/>
      <c r="BM92" s="461">
        <v>0.27159426713426221</v>
      </c>
      <c r="BN92" s="461"/>
      <c r="BO92" s="461">
        <v>3.343983477844361E-2</v>
      </c>
      <c r="BP92" s="461">
        <v>4.6102197687726466E-5</v>
      </c>
      <c r="BQ92" s="461">
        <v>1.5416762088289878E-4</v>
      </c>
      <c r="BR92" s="461">
        <v>2.7930082965223679E-5</v>
      </c>
      <c r="BS92" s="461">
        <v>2.5731608996622931E-5</v>
      </c>
      <c r="BT92" s="461"/>
      <c r="BU92" s="461">
        <v>6.6703286539997419E-5</v>
      </c>
      <c r="BV92" s="461">
        <v>4.3169196998384734E-6</v>
      </c>
      <c r="BW92" s="461"/>
      <c r="BX92" s="461">
        <v>1.3318675780346461E-2</v>
      </c>
      <c r="BY92" s="461">
        <v>2.291462909728165E-2</v>
      </c>
      <c r="BZ92" s="461">
        <v>8.4356171287632772E-2</v>
      </c>
      <c r="CA92" s="461"/>
      <c r="CB92" s="461"/>
      <c r="CC92" s="461"/>
      <c r="CD92" s="461"/>
      <c r="CE92" s="461"/>
      <c r="CF92" s="461"/>
      <c r="CG92" s="461"/>
      <c r="CH92" s="461"/>
      <c r="CI92" s="461"/>
      <c r="CJ92" s="461"/>
      <c r="CK92" s="461"/>
      <c r="CL92" s="461"/>
      <c r="CM92" s="461"/>
      <c r="CN92" s="461"/>
      <c r="CO92" s="461"/>
      <c r="CP92" s="461"/>
      <c r="CQ92" s="461"/>
      <c r="CR92" s="461"/>
      <c r="CS92" s="461"/>
      <c r="CT92" s="461"/>
      <c r="CU92" s="461"/>
      <c r="CV92" s="461"/>
      <c r="CW92" s="461"/>
      <c r="CX92" s="461"/>
      <c r="CY92" s="461"/>
      <c r="CZ92" s="461"/>
      <c r="DA92" s="461"/>
      <c r="DB92" s="461"/>
      <c r="DC92" s="461"/>
      <c r="DD92" s="461"/>
      <c r="DE92" s="461"/>
      <c r="DF92" s="461"/>
      <c r="DG92" s="461"/>
      <c r="DH92" s="461"/>
      <c r="DI92" s="461"/>
      <c r="DJ92" s="461"/>
      <c r="DK92" s="461"/>
      <c r="DL92" s="461"/>
      <c r="DM92" s="461"/>
      <c r="DN92" s="461"/>
      <c r="DO92" s="461"/>
      <c r="DP92" s="461"/>
      <c r="DQ92" s="461"/>
      <c r="DR92" s="461"/>
      <c r="DS92" s="461"/>
      <c r="DT92" s="461"/>
      <c r="DU92" s="461"/>
      <c r="DV92" s="461"/>
      <c r="DW92" s="461"/>
      <c r="DX92" s="461"/>
      <c r="DY92" s="461"/>
      <c r="DZ92" s="461"/>
      <c r="EA92" s="461"/>
      <c r="EB92" s="461"/>
      <c r="EC92" s="461"/>
      <c r="ED92" s="461"/>
      <c r="EE92" s="461"/>
      <c r="EF92" s="461"/>
      <c r="EG92" s="461"/>
      <c r="EH92" s="461"/>
      <c r="EI92" s="461"/>
      <c r="EJ92" s="461"/>
      <c r="EK92" s="461"/>
      <c r="EL92" s="461"/>
      <c r="EM92" s="461"/>
      <c r="EN92" s="461"/>
      <c r="EO92" s="461"/>
      <c r="EP92" s="461"/>
      <c r="EQ92" s="461"/>
      <c r="ER92" s="461"/>
      <c r="ES92" s="461"/>
      <c r="ET92" s="461"/>
      <c r="EU92" s="461"/>
      <c r="EV92" s="461"/>
      <c r="EW92" s="461"/>
      <c r="EX92" s="461"/>
      <c r="EY92" s="461"/>
      <c r="EZ92" s="461"/>
      <c r="FA92" s="461"/>
      <c r="FB92" s="461"/>
      <c r="FC92" s="461"/>
      <c r="FD92" s="461"/>
      <c r="FE92" s="461"/>
      <c r="FF92" s="461"/>
      <c r="FG92" s="461"/>
      <c r="FH92" s="461"/>
      <c r="FI92" s="461"/>
      <c r="FJ92" s="461"/>
      <c r="FK92" s="461"/>
      <c r="FL92" s="461"/>
      <c r="FM92" s="461"/>
      <c r="FN92" s="461"/>
      <c r="FO92" s="461"/>
      <c r="FP92" s="461">
        <v>0.57963120778466881</v>
      </c>
      <c r="FQ92" s="461">
        <v>0.67609805986751559</v>
      </c>
      <c r="FR92" s="461">
        <v>0.59461615423341863</v>
      </c>
      <c r="FS92" s="461">
        <v>0.56262923897676687</v>
      </c>
      <c r="FT92" s="461">
        <v>0.54400950966530559</v>
      </c>
      <c r="FU92" s="461">
        <v>0.50509447498467019</v>
      </c>
      <c r="FV92" s="461">
        <v>0.49036436957300811</v>
      </c>
      <c r="FW92" s="461">
        <v>0.53304572535436379</v>
      </c>
      <c r="FX92" s="461">
        <v>0.51414391319491248</v>
      </c>
      <c r="FY92" s="461">
        <v>0.68848692132290568</v>
      </c>
      <c r="FZ92" s="461"/>
      <c r="GA92" s="461"/>
      <c r="GB92" s="461"/>
      <c r="GC92" s="461"/>
      <c r="GD92" s="469"/>
      <c r="GE92" s="469"/>
      <c r="GF92" s="469"/>
      <c r="GG92" s="469"/>
      <c r="GH92" s="469"/>
      <c r="GI92" s="469"/>
      <c r="GJ92" s="469">
        <v>4.108939019279545E-2</v>
      </c>
      <c r="GK92" s="469">
        <v>0.48394176749854334</v>
      </c>
      <c r="GL92" s="469">
        <v>10.194940674491905</v>
      </c>
      <c r="GM92" s="458"/>
      <c r="GN92" s="464"/>
      <c r="GO92" s="470"/>
      <c r="GP92" s="468"/>
    </row>
    <row r="93" spans="1:198" x14ac:dyDescent="0.25">
      <c r="A93" s="465" t="s">
        <v>2299</v>
      </c>
      <c r="B93" s="461"/>
      <c r="C93" s="461"/>
      <c r="D93" s="461"/>
      <c r="E93" s="461"/>
      <c r="F93" s="461"/>
      <c r="G93" s="461"/>
      <c r="H93" s="461"/>
      <c r="I93" s="461"/>
      <c r="J93" s="461">
        <v>9.5235483271713592E-2</v>
      </c>
      <c r="K93" s="461"/>
      <c r="L93" s="461"/>
      <c r="M93" s="461"/>
      <c r="N93" s="461"/>
      <c r="O93" s="461"/>
      <c r="P93" s="461"/>
      <c r="Q93" s="461"/>
      <c r="R93" s="461"/>
      <c r="S93" s="461"/>
      <c r="T93" s="461"/>
      <c r="U93" s="461"/>
      <c r="V93" s="461"/>
      <c r="W93" s="461"/>
      <c r="X93" s="461"/>
      <c r="Y93" s="461"/>
      <c r="Z93" s="461"/>
      <c r="AA93" s="461"/>
      <c r="AB93" s="461"/>
      <c r="AC93" s="461"/>
      <c r="AD93" s="461">
        <v>3.2365237414011323E-2</v>
      </c>
      <c r="AE93" s="461"/>
      <c r="AF93" s="461"/>
      <c r="AG93" s="461"/>
      <c r="AH93" s="461">
        <v>1.0437934642410359E-2</v>
      </c>
      <c r="AI93" s="461"/>
      <c r="AJ93" s="461"/>
      <c r="AK93" s="461"/>
      <c r="AL93" s="461"/>
      <c r="AM93" s="461"/>
      <c r="AN93" s="461"/>
      <c r="AO93" s="461"/>
      <c r="AP93" s="461"/>
      <c r="AQ93" s="461"/>
      <c r="AR93" s="461"/>
      <c r="AS93" s="461"/>
      <c r="AT93" s="461"/>
      <c r="AU93" s="461"/>
      <c r="AV93" s="461"/>
      <c r="AW93" s="461"/>
      <c r="AX93" s="461"/>
      <c r="AY93" s="461"/>
      <c r="AZ93" s="461"/>
      <c r="BA93" s="461"/>
      <c r="BB93" s="461"/>
      <c r="BC93" s="461"/>
      <c r="BD93" s="461"/>
      <c r="BE93" s="461"/>
      <c r="BF93" s="461"/>
      <c r="BG93" s="461"/>
      <c r="BH93" s="461"/>
      <c r="BI93" s="461"/>
      <c r="BJ93" s="461">
        <v>4.4949800625292812E-3</v>
      </c>
      <c r="BK93" s="480">
        <v>3.0096949736460881E-4</v>
      </c>
      <c r="BL93" s="461"/>
      <c r="BM93" s="461">
        <v>1.528501152423622E-2</v>
      </c>
      <c r="BN93" s="461"/>
      <c r="BO93" s="461">
        <v>5.3526046405845476E-3</v>
      </c>
      <c r="BP93" s="461">
        <v>7.398009450852567E-6</v>
      </c>
      <c r="BQ93" s="461">
        <v>2.4739240913178022E-5</v>
      </c>
      <c r="BR93" s="461">
        <v>4.4819830094074391E-6</v>
      </c>
      <c r="BS93" s="461">
        <v>4.1291906805620642E-6</v>
      </c>
      <c r="BT93" s="461"/>
      <c r="BU93" s="461">
        <v>1.0703971243895253E-5</v>
      </c>
      <c r="BV93" s="461">
        <v>6.9272416618664207E-7</v>
      </c>
      <c r="BW93" s="461"/>
      <c r="BX93" s="461">
        <v>2.1351125592747448E-3</v>
      </c>
      <c r="BY93" s="461">
        <v>3.6703778693409767E-3</v>
      </c>
      <c r="BZ93" s="461">
        <v>1.3447724282184791E-2</v>
      </c>
      <c r="CA93" s="461"/>
      <c r="CB93" s="461"/>
      <c r="CC93" s="461"/>
      <c r="CD93" s="461"/>
      <c r="CE93" s="461"/>
      <c r="CF93" s="461"/>
      <c r="CG93" s="461"/>
      <c r="CH93" s="461"/>
      <c r="CI93" s="461"/>
      <c r="CJ93" s="461"/>
      <c r="CK93" s="461"/>
      <c r="CL93" s="461"/>
      <c r="CM93" s="461"/>
      <c r="CN93" s="461"/>
      <c r="CO93" s="461"/>
      <c r="CP93" s="461"/>
      <c r="CQ93" s="461"/>
      <c r="CR93" s="461"/>
      <c r="CS93" s="461"/>
      <c r="CT93" s="461"/>
      <c r="CU93" s="461"/>
      <c r="CV93" s="461"/>
      <c r="CW93" s="461"/>
      <c r="CX93" s="461"/>
      <c r="CY93" s="461"/>
      <c r="CZ93" s="461"/>
      <c r="DA93" s="461"/>
      <c r="DB93" s="461"/>
      <c r="DC93" s="461"/>
      <c r="DD93" s="461"/>
      <c r="DE93" s="461"/>
      <c r="DF93" s="461"/>
      <c r="DG93" s="461"/>
      <c r="DH93" s="461"/>
      <c r="DI93" s="461"/>
      <c r="DJ93" s="461"/>
      <c r="DK93" s="461"/>
      <c r="DL93" s="461"/>
      <c r="DM93" s="461"/>
      <c r="DN93" s="461"/>
      <c r="DO93" s="461"/>
      <c r="DP93" s="461"/>
      <c r="DQ93" s="461"/>
      <c r="DR93" s="461"/>
      <c r="DS93" s="461"/>
      <c r="DT93" s="461"/>
      <c r="DU93" s="461"/>
      <c r="DV93" s="461"/>
      <c r="DW93" s="461"/>
      <c r="DX93" s="461"/>
      <c r="DY93" s="461"/>
      <c r="DZ93" s="461"/>
      <c r="EA93" s="461"/>
      <c r="EB93" s="461"/>
      <c r="EC93" s="461"/>
      <c r="ED93" s="461"/>
      <c r="EE93" s="461"/>
      <c r="EF93" s="461"/>
      <c r="EG93" s="461"/>
      <c r="EH93" s="461"/>
      <c r="EI93" s="461"/>
      <c r="EJ93" s="461"/>
      <c r="EK93" s="461"/>
      <c r="EL93" s="461"/>
      <c r="EM93" s="461"/>
      <c r="EN93" s="461"/>
      <c r="EO93" s="461"/>
      <c r="EP93" s="461"/>
      <c r="EQ93" s="461"/>
      <c r="ER93" s="461"/>
      <c r="ES93" s="461"/>
      <c r="ET93" s="461"/>
      <c r="EU93" s="461"/>
      <c r="EV93" s="461"/>
      <c r="EW93" s="461"/>
      <c r="EX93" s="461"/>
      <c r="EY93" s="461"/>
      <c r="EZ93" s="461"/>
      <c r="FA93" s="461"/>
      <c r="FB93" s="461"/>
      <c r="FC93" s="461"/>
      <c r="FD93" s="461"/>
      <c r="FE93" s="461"/>
      <c r="FF93" s="461"/>
      <c r="FG93" s="461"/>
      <c r="FH93" s="461"/>
      <c r="FI93" s="461"/>
      <c r="FJ93" s="461"/>
      <c r="FK93" s="461"/>
      <c r="FL93" s="461"/>
      <c r="FM93" s="461"/>
      <c r="FN93" s="461"/>
      <c r="FO93" s="461"/>
      <c r="FP93" s="461">
        <v>0.24482505873605029</v>
      </c>
      <c r="FQ93" s="461">
        <v>0.27665516050450095</v>
      </c>
      <c r="FR93" s="461">
        <v>0.24985842611508513</v>
      </c>
      <c r="FS93" s="461">
        <v>0.23869153587817063</v>
      </c>
      <c r="FT93" s="461">
        <v>0.2319165679731674</v>
      </c>
      <c r="FU93" s="461">
        <v>0.21772593755445738</v>
      </c>
      <c r="FV93" s="461">
        <v>0.21221158006843427</v>
      </c>
      <c r="FW93" s="461">
        <v>0.22777271768866736</v>
      </c>
      <c r="FX93" s="461">
        <v>0.2209263704382837</v>
      </c>
      <c r="FY93" s="461">
        <v>0.27999328793273914</v>
      </c>
      <c r="FZ93" s="461"/>
      <c r="GA93" s="461"/>
      <c r="GB93" s="461"/>
      <c r="GC93" s="461"/>
      <c r="GD93" s="469"/>
      <c r="GE93" s="469"/>
      <c r="GF93" s="469"/>
      <c r="GG93" s="469"/>
      <c r="GH93" s="469"/>
      <c r="GI93" s="469"/>
      <c r="GJ93" s="469">
        <v>0.20653773537777873</v>
      </c>
      <c r="GK93" s="469">
        <v>0.10026588407263745</v>
      </c>
      <c r="GL93" s="469">
        <v>2.8901578432230868</v>
      </c>
      <c r="GM93" s="458"/>
      <c r="GN93" s="464"/>
      <c r="GO93" s="470"/>
      <c r="GP93" s="468"/>
    </row>
    <row r="94" spans="1:198" x14ac:dyDescent="0.25">
      <c r="A94" s="465" t="s">
        <v>2300</v>
      </c>
      <c r="B94" s="461"/>
      <c r="C94" s="461"/>
      <c r="D94" s="461"/>
      <c r="E94" s="461"/>
      <c r="F94" s="461"/>
      <c r="G94" s="461"/>
      <c r="H94" s="461"/>
      <c r="I94" s="461"/>
      <c r="J94" s="461"/>
      <c r="K94" s="461">
        <v>0.85324275395553173</v>
      </c>
      <c r="L94" s="461"/>
      <c r="M94" s="461"/>
      <c r="N94" s="461"/>
      <c r="O94" s="461"/>
      <c r="P94" s="461"/>
      <c r="Q94" s="461"/>
      <c r="R94" s="461"/>
      <c r="S94" s="461"/>
      <c r="T94" s="461"/>
      <c r="U94" s="461"/>
      <c r="V94" s="461"/>
      <c r="W94" s="461"/>
      <c r="X94" s="461"/>
      <c r="Y94" s="461"/>
      <c r="Z94" s="461"/>
      <c r="AA94" s="461"/>
      <c r="AB94" s="461"/>
      <c r="AC94" s="461"/>
      <c r="AD94" s="461"/>
      <c r="AE94" s="461">
        <v>8.9267006952157679</v>
      </c>
      <c r="AF94" s="461"/>
      <c r="AG94" s="461"/>
      <c r="AH94" s="461">
        <v>7.6854645578200736E-2</v>
      </c>
      <c r="AI94" s="461"/>
      <c r="AJ94" s="461"/>
      <c r="AK94" s="461"/>
      <c r="AL94" s="461"/>
      <c r="AM94" s="461"/>
      <c r="AN94" s="461"/>
      <c r="AO94" s="461"/>
      <c r="AP94" s="461"/>
      <c r="AQ94" s="461"/>
      <c r="AR94" s="461"/>
      <c r="AS94" s="461"/>
      <c r="AT94" s="461"/>
      <c r="AU94" s="461"/>
      <c r="AV94" s="461"/>
      <c r="AW94" s="461"/>
      <c r="AX94" s="461"/>
      <c r="AY94" s="461"/>
      <c r="AZ94" s="461"/>
      <c r="BA94" s="461"/>
      <c r="BB94" s="461"/>
      <c r="BC94" s="461"/>
      <c r="BD94" s="461"/>
      <c r="BE94" s="461"/>
      <c r="BF94" s="461"/>
      <c r="BG94" s="461"/>
      <c r="BH94" s="461"/>
      <c r="BI94" s="461"/>
      <c r="BJ94" s="461">
        <v>3.2997272507050132E-2</v>
      </c>
      <c r="BK94" s="480">
        <v>2.2050606755543538E-3</v>
      </c>
      <c r="BL94" s="461"/>
      <c r="BM94" s="461">
        <v>0.27168230074261823</v>
      </c>
      <c r="BN94" s="461"/>
      <c r="BO94" s="461"/>
      <c r="BP94" s="461"/>
      <c r="BQ94" s="461"/>
      <c r="BR94" s="461"/>
      <c r="BS94" s="461"/>
      <c r="BT94" s="461"/>
      <c r="BU94" s="461"/>
      <c r="BV94" s="461"/>
      <c r="BW94" s="461"/>
      <c r="BX94" s="461"/>
      <c r="BY94" s="461"/>
      <c r="BZ94" s="461"/>
      <c r="CA94" s="461"/>
      <c r="CB94" s="461"/>
      <c r="CC94" s="461"/>
      <c r="CD94" s="461"/>
      <c r="CE94" s="461"/>
      <c r="CF94" s="461"/>
      <c r="CG94" s="461"/>
      <c r="CH94" s="461"/>
      <c r="CI94" s="461"/>
      <c r="CJ94" s="461"/>
      <c r="CK94" s="461"/>
      <c r="CL94" s="461"/>
      <c r="CM94" s="461"/>
      <c r="CN94" s="461"/>
      <c r="CO94" s="461"/>
      <c r="CP94" s="461"/>
      <c r="CQ94" s="461"/>
      <c r="CR94" s="461"/>
      <c r="CS94" s="461"/>
      <c r="CT94" s="461"/>
      <c r="CU94" s="461"/>
      <c r="CV94" s="461"/>
      <c r="CW94" s="461"/>
      <c r="CX94" s="461"/>
      <c r="CY94" s="461"/>
      <c r="CZ94" s="461"/>
      <c r="DA94" s="461"/>
      <c r="DB94" s="461"/>
      <c r="DC94" s="461"/>
      <c r="DD94" s="461"/>
      <c r="DE94" s="461"/>
      <c r="DF94" s="461"/>
      <c r="DG94" s="461"/>
      <c r="DH94" s="461"/>
      <c r="DI94" s="461"/>
      <c r="DJ94" s="461"/>
      <c r="DK94" s="461"/>
      <c r="DL94" s="461"/>
      <c r="DM94" s="461"/>
      <c r="DN94" s="461"/>
      <c r="DO94" s="461"/>
      <c r="DP94" s="461"/>
      <c r="DQ94" s="461"/>
      <c r="DR94" s="461"/>
      <c r="DS94" s="461"/>
      <c r="DT94" s="461"/>
      <c r="DU94" s="461"/>
      <c r="DV94" s="461"/>
      <c r="DW94" s="461"/>
      <c r="DX94" s="461"/>
      <c r="DY94" s="461"/>
      <c r="DZ94" s="461"/>
      <c r="EA94" s="461"/>
      <c r="EB94" s="461"/>
      <c r="EC94" s="461"/>
      <c r="ED94" s="461"/>
      <c r="EE94" s="461"/>
      <c r="EF94" s="461"/>
      <c r="EG94" s="461"/>
      <c r="EH94" s="461"/>
      <c r="EI94" s="461"/>
      <c r="EJ94" s="461"/>
      <c r="EK94" s="461"/>
      <c r="EL94" s="461"/>
      <c r="EM94" s="461"/>
      <c r="EN94" s="461"/>
      <c r="EO94" s="461"/>
      <c r="EP94" s="461"/>
      <c r="EQ94" s="461"/>
      <c r="ER94" s="461"/>
      <c r="ES94" s="461"/>
      <c r="ET94" s="461"/>
      <c r="EU94" s="461"/>
      <c r="EV94" s="461"/>
      <c r="EW94" s="461"/>
      <c r="EX94" s="461"/>
      <c r="EY94" s="461"/>
      <c r="EZ94" s="461"/>
      <c r="FA94" s="461"/>
      <c r="FB94" s="461"/>
      <c r="FC94" s="461"/>
      <c r="FD94" s="461"/>
      <c r="FE94" s="461"/>
      <c r="FF94" s="461"/>
      <c r="FG94" s="461"/>
      <c r="FH94" s="461"/>
      <c r="FI94" s="461"/>
      <c r="FJ94" s="461"/>
      <c r="FK94" s="461"/>
      <c r="FL94" s="461"/>
      <c r="FM94" s="461"/>
      <c r="FN94" s="461"/>
      <c r="FO94" s="461"/>
      <c r="FP94" s="461"/>
      <c r="FQ94" s="461"/>
      <c r="FR94" s="461"/>
      <c r="FS94" s="461"/>
      <c r="FT94" s="461"/>
      <c r="FU94" s="461"/>
      <c r="FV94" s="461"/>
      <c r="FW94" s="461"/>
      <c r="FX94" s="461"/>
      <c r="FY94" s="461"/>
      <c r="FZ94" s="461"/>
      <c r="GA94" s="461"/>
      <c r="GB94" s="461"/>
      <c r="GC94" s="461"/>
      <c r="GD94" s="469"/>
      <c r="GE94" s="469"/>
      <c r="GF94" s="469"/>
      <c r="GG94" s="469"/>
      <c r="GH94" s="469"/>
      <c r="GI94" s="469"/>
      <c r="GJ94" s="469">
        <v>2.3860036160046398</v>
      </c>
      <c r="GK94" s="469">
        <v>4.0257674282231943E-3</v>
      </c>
      <c r="GL94" s="469">
        <v>12.553712112107586</v>
      </c>
      <c r="GM94" s="458"/>
      <c r="GN94" s="464"/>
      <c r="GO94" s="470"/>
      <c r="GP94" s="468"/>
    </row>
    <row r="95" spans="1:198" x14ac:dyDescent="0.25">
      <c r="A95" s="465" t="s">
        <v>2301</v>
      </c>
      <c r="B95" s="461"/>
      <c r="C95" s="461"/>
      <c r="D95" s="461"/>
      <c r="E95" s="461"/>
      <c r="F95" s="461"/>
      <c r="G95" s="461"/>
      <c r="H95" s="461"/>
      <c r="I95" s="461"/>
      <c r="J95" s="461"/>
      <c r="K95" s="461"/>
      <c r="L95" s="461">
        <v>0.17471031671361265</v>
      </c>
      <c r="M95" s="461">
        <v>0.82300764830458439</v>
      </c>
      <c r="N95" s="461">
        <v>0.5293607364246532</v>
      </c>
      <c r="O95" s="461">
        <v>6.3090081142244625E-2</v>
      </c>
      <c r="P95" s="461">
        <v>1.3365579155828077E-2</v>
      </c>
      <c r="Q95" s="461">
        <v>1.3114686177694561E-3</v>
      </c>
      <c r="R95" s="461">
        <v>1.0606780239020426E-4</v>
      </c>
      <c r="S95" s="461"/>
      <c r="T95" s="461">
        <v>5.0204424153083398E-3</v>
      </c>
      <c r="U95" s="461">
        <v>6.4080478500320153E-3</v>
      </c>
      <c r="V95" s="461">
        <v>0.19679672387475269</v>
      </c>
      <c r="W95" s="461">
        <v>4.1198405930657506E-3</v>
      </c>
      <c r="X95" s="461">
        <v>1.5332301606337469E-2</v>
      </c>
      <c r="Y95" s="461"/>
      <c r="Z95" s="461"/>
      <c r="AA95" s="461"/>
      <c r="AB95" s="461"/>
      <c r="AC95" s="461">
        <v>8.5270750701856128E-3</v>
      </c>
      <c r="AD95" s="461">
        <v>1.3175111352980013E-2</v>
      </c>
      <c r="AE95" s="461"/>
      <c r="AF95" s="461">
        <v>4.449344298535244E-2</v>
      </c>
      <c r="AG95" s="461"/>
      <c r="AH95" s="461">
        <v>7.2131693050940124E-2</v>
      </c>
      <c r="AI95" s="461">
        <v>1.701751788009465</v>
      </c>
      <c r="AJ95" s="461">
        <v>2.1339749365325411</v>
      </c>
      <c r="AK95" s="461">
        <v>5.3164497023863264E-2</v>
      </c>
      <c r="AL95" s="461">
        <v>8.6528099609714125E-4</v>
      </c>
      <c r="AM95" s="461">
        <v>8.8791143253980034E-2</v>
      </c>
      <c r="AN95" s="461">
        <v>3.4806947829514275E-2</v>
      </c>
      <c r="AO95" s="461">
        <v>0.16418923744035407</v>
      </c>
      <c r="AP95" s="461">
        <v>0.10203824593411609</v>
      </c>
      <c r="AQ95" s="461">
        <v>0.11699841679838648</v>
      </c>
      <c r="AR95" s="461">
        <v>6.0924618288941176E-4</v>
      </c>
      <c r="AS95" s="461">
        <v>1.252960130733102E-2</v>
      </c>
      <c r="AT95" s="461">
        <v>0.11276641176597918</v>
      </c>
      <c r="AU95" s="461">
        <v>0.42186002579776344</v>
      </c>
      <c r="AV95" s="461">
        <v>1.0305566636489816</v>
      </c>
      <c r="AW95" s="461">
        <v>1.2519279566750655E-2</v>
      </c>
      <c r="AX95" s="461">
        <v>9.3422267235722015E-2</v>
      </c>
      <c r="AY95" s="461">
        <v>1.2868208262187313E-2</v>
      </c>
      <c r="AZ95" s="461">
        <v>9.2119575255540417E-2</v>
      </c>
      <c r="BA95" s="461">
        <v>6.3959993499807216E-2</v>
      </c>
      <c r="BB95" s="461">
        <v>0.17776451915883568</v>
      </c>
      <c r="BC95" s="461">
        <v>1.4343387127521475E-3</v>
      </c>
      <c r="BD95" s="461">
        <v>3.5287365317467621E-4</v>
      </c>
      <c r="BE95" s="461">
        <v>0.11882967632350504</v>
      </c>
      <c r="BF95" s="461">
        <v>2.755494843795982E-2</v>
      </c>
      <c r="BG95" s="461">
        <v>0.13168849082114872</v>
      </c>
      <c r="BH95" s="461">
        <v>7.7424999908853695E-2</v>
      </c>
      <c r="BI95" s="461">
        <v>3.0453084613920361E-2</v>
      </c>
      <c r="BJ95" s="461">
        <v>3.1009325486059097E-2</v>
      </c>
      <c r="BK95" s="480">
        <v>2.0739891292308838E-3</v>
      </c>
      <c r="BL95" s="461"/>
      <c r="BM95" s="461">
        <v>3.8665012905474319E-2</v>
      </c>
      <c r="BN95" s="461">
        <v>3.5204974379517112E-2</v>
      </c>
      <c r="BO95" s="461">
        <v>3.6926629012483982E-2</v>
      </c>
      <c r="BP95" s="461">
        <v>5.0976275154645672E-5</v>
      </c>
      <c r="BQ95" s="461">
        <v>1.7046674340422376E-4</v>
      </c>
      <c r="BR95" s="461">
        <v>3.0883133913854549E-5</v>
      </c>
      <c r="BS95" s="461">
        <v>2.8452214888098175E-5</v>
      </c>
      <c r="BT95" s="461"/>
      <c r="BU95" s="461">
        <v>7.3755804724259927E-5</v>
      </c>
      <c r="BV95" s="461">
        <v>4.7733565450889267E-6</v>
      </c>
      <c r="BW95" s="461"/>
      <c r="BX95" s="461">
        <v>1.4721325246632541E-2</v>
      </c>
      <c r="BY95" s="461">
        <v>2.531486858805972E-2</v>
      </c>
      <c r="BZ95" s="461">
        <v>9.3014984596380121E-2</v>
      </c>
      <c r="CA95" s="461"/>
      <c r="CB95" s="461"/>
      <c r="CC95" s="461"/>
      <c r="CD95" s="461"/>
      <c r="CE95" s="461"/>
      <c r="CF95" s="461"/>
      <c r="CG95" s="461"/>
      <c r="CH95" s="461"/>
      <c r="CI95" s="461"/>
      <c r="CJ95" s="461"/>
      <c r="CK95" s="461"/>
      <c r="CL95" s="461"/>
      <c r="CM95" s="461"/>
      <c r="CN95" s="461"/>
      <c r="CO95" s="461"/>
      <c r="CP95" s="461"/>
      <c r="CQ95" s="461"/>
      <c r="CR95" s="461"/>
      <c r="CS95" s="461"/>
      <c r="CT95" s="461"/>
      <c r="CU95" s="461"/>
      <c r="CV95" s="461"/>
      <c r="CW95" s="461"/>
      <c r="CX95" s="461"/>
      <c r="CY95" s="461"/>
      <c r="CZ95" s="461"/>
      <c r="DA95" s="461"/>
      <c r="DB95" s="461"/>
      <c r="DC95" s="461"/>
      <c r="DD95" s="461"/>
      <c r="DE95" s="461"/>
      <c r="DF95" s="461"/>
      <c r="DG95" s="461"/>
      <c r="DH95" s="461"/>
      <c r="DI95" s="461"/>
      <c r="DJ95" s="461"/>
      <c r="DK95" s="461"/>
      <c r="DL95" s="461"/>
      <c r="DM95" s="461"/>
      <c r="DN95" s="461"/>
      <c r="DO95" s="461"/>
      <c r="DP95" s="461"/>
      <c r="DQ95" s="461"/>
      <c r="DR95" s="461"/>
      <c r="DS95" s="461"/>
      <c r="DT95" s="461"/>
      <c r="DU95" s="461"/>
      <c r="DV95" s="461"/>
      <c r="DW95" s="461"/>
      <c r="DX95" s="461"/>
      <c r="DY95" s="461"/>
      <c r="DZ95" s="461"/>
      <c r="EA95" s="461"/>
      <c r="EB95" s="461"/>
      <c r="EC95" s="461"/>
      <c r="ED95" s="461"/>
      <c r="EE95" s="461"/>
      <c r="EF95" s="461"/>
      <c r="EG95" s="461"/>
      <c r="EH95" s="461"/>
      <c r="EI95" s="461"/>
      <c r="EJ95" s="461"/>
      <c r="EK95" s="461"/>
      <c r="EL95" s="461"/>
      <c r="EM95" s="461"/>
      <c r="EN95" s="461"/>
      <c r="EO95" s="461"/>
      <c r="EP95" s="461"/>
      <c r="EQ95" s="461"/>
      <c r="ER95" s="461"/>
      <c r="ES95" s="461"/>
      <c r="ET95" s="461"/>
      <c r="EU95" s="461"/>
      <c r="EV95" s="461"/>
      <c r="EW95" s="461"/>
      <c r="EX95" s="461"/>
      <c r="EY95" s="461"/>
      <c r="EZ95" s="461"/>
      <c r="FA95" s="461"/>
      <c r="FB95" s="461"/>
      <c r="FC95" s="461"/>
      <c r="FD95" s="461"/>
      <c r="FE95" s="461"/>
      <c r="FF95" s="461"/>
      <c r="FG95" s="461"/>
      <c r="FH95" s="461"/>
      <c r="FI95" s="461"/>
      <c r="FJ95" s="461"/>
      <c r="FK95" s="461"/>
      <c r="FL95" s="461"/>
      <c r="FM95" s="461"/>
      <c r="FN95" s="461"/>
      <c r="FO95" s="461"/>
      <c r="FP95" s="461">
        <v>0.20244581534553796</v>
      </c>
      <c r="FQ95" s="461">
        <v>0.2359593810690028</v>
      </c>
      <c r="FR95" s="461">
        <v>0.20750866173719051</v>
      </c>
      <c r="FS95" s="461">
        <v>0.19624228023307008</v>
      </c>
      <c r="FT95" s="461">
        <v>0.18951325642976199</v>
      </c>
      <c r="FU95" s="461">
        <v>0.17585123224308791</v>
      </c>
      <c r="FV95" s="461">
        <v>0.17064307932333816</v>
      </c>
      <c r="FW95" s="461">
        <v>0.18541761389869238</v>
      </c>
      <c r="FX95" s="461">
        <v>0.17885023765897562</v>
      </c>
      <c r="FY95" s="461">
        <v>0.23947119594680666</v>
      </c>
      <c r="FZ95" s="461"/>
      <c r="GA95" s="461"/>
      <c r="GB95" s="461"/>
      <c r="GC95" s="461"/>
      <c r="GD95" s="469"/>
      <c r="GE95" s="469"/>
      <c r="GF95" s="469"/>
      <c r="GG95" s="469"/>
      <c r="GH95" s="469"/>
      <c r="GI95" s="469"/>
      <c r="GJ95" s="469">
        <v>1.5316555466179123</v>
      </c>
      <c r="GK95" s="469">
        <v>1.9309633186010127</v>
      </c>
      <c r="GL95" s="469">
        <v>14.508063310908316</v>
      </c>
      <c r="GM95" s="458"/>
      <c r="GN95" s="464"/>
      <c r="GO95" s="470"/>
      <c r="GP95" s="468"/>
    </row>
    <row r="96" spans="1:198" x14ac:dyDescent="0.25">
      <c r="A96" s="465" t="s">
        <v>2302</v>
      </c>
      <c r="B96" s="461"/>
      <c r="C96" s="461"/>
      <c r="D96" s="461"/>
      <c r="E96" s="461"/>
      <c r="F96" s="461"/>
      <c r="G96" s="461"/>
      <c r="H96" s="461"/>
      <c r="I96" s="461"/>
      <c r="J96" s="461"/>
      <c r="K96" s="461"/>
      <c r="L96" s="461"/>
      <c r="M96" s="461">
        <v>13.657262905480502</v>
      </c>
      <c r="N96" s="461"/>
      <c r="O96" s="461"/>
      <c r="P96" s="461"/>
      <c r="Q96" s="461"/>
      <c r="R96" s="461"/>
      <c r="S96" s="461"/>
      <c r="T96" s="461"/>
      <c r="U96" s="461"/>
      <c r="V96" s="461">
        <v>25.21238536353906</v>
      </c>
      <c r="W96" s="461"/>
      <c r="X96" s="461">
        <v>6.9711065519703821E-3</v>
      </c>
      <c r="Y96" s="461"/>
      <c r="Z96" s="461">
        <v>8.2063492222792593</v>
      </c>
      <c r="AA96" s="461"/>
      <c r="AB96" s="461"/>
      <c r="AC96" s="461">
        <v>2.0060683685178476E-2</v>
      </c>
      <c r="AD96" s="461">
        <v>3.7913277806767565E-2</v>
      </c>
      <c r="AE96" s="461"/>
      <c r="AF96" s="461">
        <v>1.6195592147688447</v>
      </c>
      <c r="AG96" s="461"/>
      <c r="AH96" s="461">
        <v>0.12034371505847247</v>
      </c>
      <c r="AI96" s="461">
        <v>0.24923288537105889</v>
      </c>
      <c r="AJ96" s="461">
        <v>4.2018168273426539</v>
      </c>
      <c r="AK96" s="461"/>
      <c r="AL96" s="461">
        <v>5.2933458232293358</v>
      </c>
      <c r="AM96" s="461">
        <v>0.9438601008346752</v>
      </c>
      <c r="AN96" s="461"/>
      <c r="AO96" s="461"/>
      <c r="AP96" s="461"/>
      <c r="AQ96" s="461"/>
      <c r="AR96" s="461"/>
      <c r="AS96" s="461"/>
      <c r="AT96" s="461"/>
      <c r="AU96" s="461">
        <v>0.50003636813129548</v>
      </c>
      <c r="AV96" s="461"/>
      <c r="AW96" s="461"/>
      <c r="AX96" s="461"/>
      <c r="AY96" s="461"/>
      <c r="AZ96" s="461"/>
      <c r="BA96" s="461"/>
      <c r="BB96" s="461"/>
      <c r="BC96" s="461"/>
      <c r="BD96" s="461"/>
      <c r="BE96" s="461"/>
      <c r="BF96" s="461"/>
      <c r="BG96" s="461"/>
      <c r="BH96" s="461"/>
      <c r="BI96" s="461"/>
      <c r="BJ96" s="461">
        <v>1.4877748374977315</v>
      </c>
      <c r="BK96" s="480"/>
      <c r="BL96" s="461"/>
      <c r="BM96" s="461"/>
      <c r="BN96" s="461"/>
      <c r="BO96" s="461"/>
      <c r="BP96" s="461"/>
      <c r="BQ96" s="461"/>
      <c r="BR96" s="461"/>
      <c r="BS96" s="461"/>
      <c r="BT96" s="461"/>
      <c r="BU96" s="461"/>
      <c r="BV96" s="461"/>
      <c r="BW96" s="461"/>
      <c r="BX96" s="461"/>
      <c r="BY96" s="461"/>
      <c r="BZ96" s="461">
        <v>2.8433200990266299</v>
      </c>
      <c r="CA96" s="461"/>
      <c r="CB96" s="461"/>
      <c r="CC96" s="461"/>
      <c r="CD96" s="461"/>
      <c r="CE96" s="461"/>
      <c r="CF96" s="461"/>
      <c r="CG96" s="461"/>
      <c r="CH96" s="461"/>
      <c r="CI96" s="461"/>
      <c r="CJ96" s="461"/>
      <c r="CK96" s="461"/>
      <c r="CL96" s="461"/>
      <c r="CM96" s="461"/>
      <c r="CN96" s="461"/>
      <c r="CO96" s="461"/>
      <c r="CP96" s="461"/>
      <c r="CQ96" s="461"/>
      <c r="CR96" s="461"/>
      <c r="CS96" s="461"/>
      <c r="CT96" s="461"/>
      <c r="CU96" s="461"/>
      <c r="CV96" s="461"/>
      <c r="CW96" s="461"/>
      <c r="CX96" s="461"/>
      <c r="CY96" s="461"/>
      <c r="CZ96" s="461"/>
      <c r="DA96" s="461"/>
      <c r="DB96" s="461"/>
      <c r="DC96" s="461"/>
      <c r="DD96" s="461"/>
      <c r="DE96" s="461"/>
      <c r="DF96" s="461"/>
      <c r="DG96" s="461"/>
      <c r="DH96" s="461"/>
      <c r="DI96" s="461"/>
      <c r="DJ96" s="461"/>
      <c r="DK96" s="461"/>
      <c r="DL96" s="461"/>
      <c r="DM96" s="461"/>
      <c r="DN96" s="461"/>
      <c r="DO96" s="461"/>
      <c r="DP96" s="461"/>
      <c r="DQ96" s="461"/>
      <c r="DR96" s="461"/>
      <c r="DS96" s="461"/>
      <c r="DT96" s="461"/>
      <c r="DU96" s="461"/>
      <c r="DV96" s="461"/>
      <c r="DW96" s="461"/>
      <c r="DX96" s="461"/>
      <c r="DY96" s="461"/>
      <c r="DZ96" s="461"/>
      <c r="EA96" s="461"/>
      <c r="EB96" s="461"/>
      <c r="EC96" s="461"/>
      <c r="ED96" s="461"/>
      <c r="EE96" s="461"/>
      <c r="EF96" s="461"/>
      <c r="EG96" s="461"/>
      <c r="EH96" s="461"/>
      <c r="EI96" s="461"/>
      <c r="EJ96" s="461"/>
      <c r="EK96" s="461"/>
      <c r="EL96" s="461"/>
      <c r="EM96" s="461"/>
      <c r="EN96" s="461"/>
      <c r="EO96" s="461"/>
      <c r="EP96" s="461"/>
      <c r="EQ96" s="461"/>
      <c r="ER96" s="461"/>
      <c r="ES96" s="461"/>
      <c r="ET96" s="461"/>
      <c r="EU96" s="461"/>
      <c r="EV96" s="461"/>
      <c r="EW96" s="461"/>
      <c r="EX96" s="461"/>
      <c r="EY96" s="461"/>
      <c r="EZ96" s="461"/>
      <c r="FA96" s="461"/>
      <c r="FB96" s="461"/>
      <c r="FC96" s="461"/>
      <c r="FD96" s="461"/>
      <c r="FE96" s="461"/>
      <c r="FF96" s="461"/>
      <c r="FG96" s="461"/>
      <c r="FH96" s="461"/>
      <c r="FI96" s="461"/>
      <c r="FJ96" s="461"/>
      <c r="FK96" s="461"/>
      <c r="FL96" s="461"/>
      <c r="FM96" s="461"/>
      <c r="FN96" s="461"/>
      <c r="FO96" s="461"/>
      <c r="FP96" s="461">
        <v>0.50118906342745717</v>
      </c>
      <c r="FQ96" s="461">
        <v>0.93738477297165468</v>
      </c>
      <c r="FR96" s="461">
        <v>0.98822735055433708</v>
      </c>
      <c r="FS96" s="461">
        <v>0.90988504944688275</v>
      </c>
      <c r="FT96" s="461">
        <v>0.79396853326909544</v>
      </c>
      <c r="FU96" s="461">
        <v>0.50921159824734175</v>
      </c>
      <c r="FV96" s="461">
        <v>0.58590626665035739</v>
      </c>
      <c r="FW96" s="461">
        <v>1.1910780605089193</v>
      </c>
      <c r="FX96" s="461">
        <v>2.168724977720129</v>
      </c>
      <c r="FY96" s="461">
        <v>7.5870046431232785</v>
      </c>
      <c r="FZ96" s="461"/>
      <c r="GA96" s="461"/>
      <c r="GB96" s="461"/>
      <c r="GC96" s="461"/>
      <c r="GD96" s="469"/>
      <c r="GE96" s="469"/>
      <c r="GF96" s="469"/>
      <c r="GG96" s="469"/>
      <c r="GH96" s="469"/>
      <c r="GI96" s="469"/>
      <c r="GJ96" s="469">
        <v>-0.27315100473200271</v>
      </c>
      <c r="GK96" s="469">
        <v>3.8117677882541199</v>
      </c>
      <c r="GL96" s="469">
        <v>84.111429530045015</v>
      </c>
      <c r="GM96" s="458"/>
      <c r="GN96" s="464"/>
      <c r="GO96" s="470"/>
      <c r="GP96" s="468"/>
    </row>
    <row r="97" spans="1:198" x14ac:dyDescent="0.25">
      <c r="A97" s="465" t="s">
        <v>1601</v>
      </c>
      <c r="B97" s="461"/>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c r="AA97" s="461"/>
      <c r="AB97" s="461"/>
      <c r="AC97" s="461"/>
      <c r="AD97" s="461"/>
      <c r="AE97" s="461"/>
      <c r="AF97" s="461"/>
      <c r="AG97" s="461"/>
      <c r="AH97" s="461"/>
      <c r="AI97" s="461"/>
      <c r="AJ97" s="461"/>
      <c r="AK97" s="461"/>
      <c r="AL97" s="461"/>
      <c r="AM97" s="461"/>
      <c r="AN97" s="461">
        <v>8.449748897668206</v>
      </c>
      <c r="AO97" s="461">
        <v>5.8163793503758674</v>
      </c>
      <c r="AP97" s="461">
        <v>0.12949140308369425</v>
      </c>
      <c r="AQ97" s="461"/>
      <c r="AR97" s="461"/>
      <c r="AS97" s="461"/>
      <c r="AT97" s="461"/>
      <c r="AU97" s="461">
        <v>3.2708413190642702E-2</v>
      </c>
      <c r="AV97" s="461">
        <v>2.6760476707045844E-2</v>
      </c>
      <c r="AW97" s="461"/>
      <c r="AX97" s="461"/>
      <c r="AY97" s="461"/>
      <c r="AZ97" s="461"/>
      <c r="BA97" s="461"/>
      <c r="BB97" s="461"/>
      <c r="BC97" s="461"/>
      <c r="BD97" s="461"/>
      <c r="BE97" s="461"/>
      <c r="BF97" s="461"/>
      <c r="BG97" s="461"/>
      <c r="BH97" s="461"/>
      <c r="BI97" s="461">
        <v>0.39634907790652751</v>
      </c>
      <c r="BJ97" s="461">
        <v>2.0482851615364939E-2</v>
      </c>
      <c r="BK97" s="480"/>
      <c r="BL97" s="461"/>
      <c r="BM97" s="461"/>
      <c r="BN97" s="461"/>
      <c r="BO97" s="461"/>
      <c r="BP97" s="461"/>
      <c r="BQ97" s="461"/>
      <c r="BR97" s="461"/>
      <c r="BS97" s="461"/>
      <c r="BT97" s="461"/>
      <c r="BU97" s="461"/>
      <c r="BV97" s="461"/>
      <c r="BW97" s="461"/>
      <c r="BX97" s="461">
        <v>7.1778677063655122E-2</v>
      </c>
      <c r="BY97" s="461"/>
      <c r="BZ97" s="461">
        <v>4.0487404663921943E-2</v>
      </c>
      <c r="CA97" s="461"/>
      <c r="CB97" s="461"/>
      <c r="CC97" s="461"/>
      <c r="CD97" s="461"/>
      <c r="CE97" s="461"/>
      <c r="CF97" s="461"/>
      <c r="CG97" s="461"/>
      <c r="CH97" s="461"/>
      <c r="CI97" s="461"/>
      <c r="CJ97" s="461"/>
      <c r="CK97" s="461"/>
      <c r="CL97" s="461"/>
      <c r="CM97" s="461"/>
      <c r="CN97" s="461"/>
      <c r="CO97" s="461"/>
      <c r="CP97" s="461"/>
      <c r="CQ97" s="461"/>
      <c r="CR97" s="461"/>
      <c r="CS97" s="461"/>
      <c r="CT97" s="461"/>
      <c r="CU97" s="461"/>
      <c r="CV97" s="461"/>
      <c r="CW97" s="461"/>
      <c r="CX97" s="461"/>
      <c r="CY97" s="461"/>
      <c r="CZ97" s="461"/>
      <c r="DA97" s="461"/>
      <c r="DB97" s="461"/>
      <c r="DC97" s="461"/>
      <c r="DD97" s="461"/>
      <c r="DE97" s="461"/>
      <c r="DF97" s="461"/>
      <c r="DG97" s="461"/>
      <c r="DH97" s="461"/>
      <c r="DI97" s="461"/>
      <c r="DJ97" s="461"/>
      <c r="DK97" s="461"/>
      <c r="DL97" s="461"/>
      <c r="DM97" s="461"/>
      <c r="DN97" s="461"/>
      <c r="DO97" s="461"/>
      <c r="DP97" s="461"/>
      <c r="DQ97" s="461"/>
      <c r="DR97" s="461"/>
      <c r="DS97" s="461"/>
      <c r="DT97" s="461"/>
      <c r="DU97" s="461"/>
      <c r="DV97" s="461"/>
      <c r="DW97" s="461"/>
      <c r="DX97" s="461"/>
      <c r="DY97" s="461"/>
      <c r="DZ97" s="461"/>
      <c r="EA97" s="461"/>
      <c r="EB97" s="461"/>
      <c r="EC97" s="461"/>
      <c r="ED97" s="461"/>
      <c r="EE97" s="461"/>
      <c r="EF97" s="461"/>
      <c r="EG97" s="461"/>
      <c r="EH97" s="461"/>
      <c r="EI97" s="461"/>
      <c r="EJ97" s="461"/>
      <c r="EK97" s="461"/>
      <c r="EL97" s="461"/>
      <c r="EM97" s="461"/>
      <c r="EN97" s="461"/>
      <c r="EO97" s="461"/>
      <c r="EP97" s="461"/>
      <c r="EQ97" s="461"/>
      <c r="ER97" s="461"/>
      <c r="ES97" s="461"/>
      <c r="ET97" s="461"/>
      <c r="EU97" s="461"/>
      <c r="EV97" s="461"/>
      <c r="EW97" s="461"/>
      <c r="EX97" s="461"/>
      <c r="EY97" s="461"/>
      <c r="EZ97" s="461"/>
      <c r="FA97" s="461"/>
      <c r="FB97" s="461"/>
      <c r="FC97" s="461"/>
      <c r="FD97" s="461"/>
      <c r="FE97" s="461"/>
      <c r="FF97" s="461"/>
      <c r="FG97" s="461"/>
      <c r="FH97" s="461"/>
      <c r="FI97" s="461"/>
      <c r="FJ97" s="461"/>
      <c r="FK97" s="461"/>
      <c r="FL97" s="461"/>
      <c r="FM97" s="461"/>
      <c r="FN97" s="461"/>
      <c r="FO97" s="461"/>
      <c r="FP97" s="461">
        <v>0.72167807461565969</v>
      </c>
      <c r="FQ97" s="461">
        <v>1.2804673608879329</v>
      </c>
      <c r="FR97" s="461">
        <v>1.6286487596987329</v>
      </c>
      <c r="FS97" s="461">
        <v>0.71299595007225569</v>
      </c>
      <c r="FT97" s="461">
        <v>0.35620506476436742</v>
      </c>
      <c r="FU97" s="461">
        <v>0.38210627879062081</v>
      </c>
      <c r="FV97" s="461">
        <v>0.23027332500817405</v>
      </c>
      <c r="FW97" s="461">
        <v>0.12811482758123505</v>
      </c>
      <c r="FX97" s="461">
        <v>0.56747324777197594</v>
      </c>
      <c r="FY97" s="461">
        <v>0.78772320765918924</v>
      </c>
      <c r="FZ97" s="461"/>
      <c r="GA97" s="461"/>
      <c r="GB97" s="461"/>
      <c r="GC97" s="461"/>
      <c r="GD97" s="469"/>
      <c r="GE97" s="469"/>
      <c r="GF97" s="469"/>
      <c r="GG97" s="469"/>
      <c r="GH97" s="469"/>
      <c r="GI97" s="469"/>
      <c r="GJ97" s="469">
        <v>-0.1134946103473345</v>
      </c>
      <c r="GK97" s="469">
        <v>0.55380915063781766</v>
      </c>
      <c r="GL97" s="469">
        <v>22.220187189415554</v>
      </c>
      <c r="GM97" s="458"/>
      <c r="GN97" s="464"/>
      <c r="GO97" s="470"/>
      <c r="GP97" s="468"/>
    </row>
    <row r="98" spans="1:198" x14ac:dyDescent="0.25">
      <c r="A98" s="465" t="s">
        <v>1600</v>
      </c>
      <c r="B98" s="461"/>
      <c r="C98" s="461"/>
      <c r="D98" s="461"/>
      <c r="E98" s="461"/>
      <c r="F98" s="461"/>
      <c r="G98" s="461"/>
      <c r="H98" s="461"/>
      <c r="I98" s="461"/>
      <c r="J98" s="461"/>
      <c r="K98" s="461"/>
      <c r="L98" s="461"/>
      <c r="M98" s="461"/>
      <c r="N98" s="461"/>
      <c r="O98" s="461"/>
      <c r="P98" s="461"/>
      <c r="Q98" s="461"/>
      <c r="R98" s="461"/>
      <c r="S98" s="461"/>
      <c r="T98" s="461"/>
      <c r="U98" s="461"/>
      <c r="V98" s="461"/>
      <c r="W98" s="461">
        <v>5.3186797526179204</v>
      </c>
      <c r="X98" s="461"/>
      <c r="Y98" s="461"/>
      <c r="Z98" s="461"/>
      <c r="AA98" s="461"/>
      <c r="AB98" s="461"/>
      <c r="AC98" s="461"/>
      <c r="AD98" s="461">
        <v>0.48543466795234991</v>
      </c>
      <c r="AE98" s="461"/>
      <c r="AF98" s="461"/>
      <c r="AG98" s="461"/>
      <c r="AH98" s="461">
        <v>9.7817481377590366E-3</v>
      </c>
      <c r="AI98" s="461"/>
      <c r="AJ98" s="461"/>
      <c r="AK98" s="461"/>
      <c r="AL98" s="461"/>
      <c r="AM98" s="461"/>
      <c r="AN98" s="461"/>
      <c r="AO98" s="461"/>
      <c r="AP98" s="461"/>
      <c r="AQ98" s="461"/>
      <c r="AR98" s="461"/>
      <c r="AS98" s="461"/>
      <c r="AT98" s="461"/>
      <c r="AU98" s="461"/>
      <c r="AV98" s="461"/>
      <c r="AW98" s="461"/>
      <c r="AX98" s="461"/>
      <c r="AY98" s="461"/>
      <c r="AZ98" s="461"/>
      <c r="BA98" s="461"/>
      <c r="BB98" s="461"/>
      <c r="BC98" s="461"/>
      <c r="BD98" s="461"/>
      <c r="BE98" s="461"/>
      <c r="BF98" s="461"/>
      <c r="BG98" s="461"/>
      <c r="BH98" s="461"/>
      <c r="BI98" s="461"/>
      <c r="BJ98" s="461">
        <v>0.16595159297561071</v>
      </c>
      <c r="BK98" s="480">
        <v>1.1063172668413583E-2</v>
      </c>
      <c r="BL98" s="461"/>
      <c r="BM98" s="461"/>
      <c r="BN98" s="461"/>
      <c r="BO98" s="461">
        <v>0.26673428901675955</v>
      </c>
      <c r="BP98" s="461">
        <v>1.6688621794531196E-3</v>
      </c>
      <c r="BQ98" s="461">
        <v>5.5807807528410113E-3</v>
      </c>
      <c r="BR98" s="461">
        <v>1.0112409845095152E-3</v>
      </c>
      <c r="BS98" s="461">
        <v>9.3164131778938539E-4</v>
      </c>
      <c r="BT98" s="461"/>
      <c r="BU98" s="461">
        <v>2.4150970889835577E-3</v>
      </c>
      <c r="BV98" s="461">
        <v>1.5631390051861149E-4</v>
      </c>
      <c r="BW98" s="461"/>
      <c r="BX98" s="461">
        <v>0.11357715503815294</v>
      </c>
      <c r="BY98" s="461">
        <v>0.20387068216611931</v>
      </c>
      <c r="BZ98" s="461">
        <v>0.51786911832529692</v>
      </c>
      <c r="CA98" s="461"/>
      <c r="CB98" s="461"/>
      <c r="CC98" s="461"/>
      <c r="CD98" s="461"/>
      <c r="CE98" s="461"/>
      <c r="CF98" s="461"/>
      <c r="CG98" s="461"/>
      <c r="CH98" s="461"/>
      <c r="CI98" s="461"/>
      <c r="CJ98" s="461"/>
      <c r="CK98" s="461"/>
      <c r="CL98" s="461"/>
      <c r="CM98" s="461"/>
      <c r="CN98" s="461"/>
      <c r="CO98" s="461"/>
      <c r="CP98" s="461"/>
      <c r="CQ98" s="461"/>
      <c r="CR98" s="461"/>
      <c r="CS98" s="461"/>
      <c r="CT98" s="461"/>
      <c r="CU98" s="461"/>
      <c r="CV98" s="461"/>
      <c r="CW98" s="461"/>
      <c r="CX98" s="461"/>
      <c r="CY98" s="461"/>
      <c r="CZ98" s="461"/>
      <c r="DA98" s="461"/>
      <c r="DB98" s="461"/>
      <c r="DC98" s="461"/>
      <c r="DD98" s="461"/>
      <c r="DE98" s="461"/>
      <c r="DF98" s="461"/>
      <c r="DG98" s="461"/>
      <c r="DH98" s="461"/>
      <c r="DI98" s="461"/>
      <c r="DJ98" s="461"/>
      <c r="DK98" s="461"/>
      <c r="DL98" s="461"/>
      <c r="DM98" s="461"/>
      <c r="DN98" s="461"/>
      <c r="DO98" s="461"/>
      <c r="DP98" s="461"/>
      <c r="DQ98" s="461"/>
      <c r="DR98" s="461"/>
      <c r="DS98" s="461"/>
      <c r="DT98" s="461"/>
      <c r="DU98" s="461"/>
      <c r="DV98" s="461"/>
      <c r="DW98" s="461"/>
      <c r="DX98" s="461"/>
      <c r="DY98" s="461"/>
      <c r="DZ98" s="461"/>
      <c r="EA98" s="461"/>
      <c r="EB98" s="461"/>
      <c r="EC98" s="461"/>
      <c r="ED98" s="461"/>
      <c r="EE98" s="461"/>
      <c r="EF98" s="461"/>
      <c r="EG98" s="461"/>
      <c r="EH98" s="461"/>
      <c r="EI98" s="461"/>
      <c r="EJ98" s="461"/>
      <c r="EK98" s="461"/>
      <c r="EL98" s="461"/>
      <c r="EM98" s="461"/>
      <c r="EN98" s="461"/>
      <c r="EO98" s="461"/>
      <c r="EP98" s="461"/>
      <c r="EQ98" s="461"/>
      <c r="ER98" s="461"/>
      <c r="ES98" s="461"/>
      <c r="ET98" s="461"/>
      <c r="EU98" s="461"/>
      <c r="EV98" s="461"/>
      <c r="EW98" s="461"/>
      <c r="EX98" s="461"/>
      <c r="EY98" s="461"/>
      <c r="EZ98" s="461"/>
      <c r="FA98" s="461"/>
      <c r="FB98" s="461"/>
      <c r="FC98" s="461"/>
      <c r="FD98" s="461"/>
      <c r="FE98" s="461"/>
      <c r="FF98" s="461"/>
      <c r="FG98" s="461"/>
      <c r="FH98" s="461"/>
      <c r="FI98" s="461"/>
      <c r="FJ98" s="461"/>
      <c r="FK98" s="461"/>
      <c r="FL98" s="461"/>
      <c r="FM98" s="461"/>
      <c r="FN98" s="461"/>
      <c r="FO98" s="461"/>
      <c r="FP98" s="461">
        <v>8.8282847328689129E-2</v>
      </c>
      <c r="FQ98" s="461">
        <v>0.16609118132481659</v>
      </c>
      <c r="FR98" s="461">
        <v>0.17524068931213563</v>
      </c>
      <c r="FS98" s="461">
        <v>0.16117911198469681</v>
      </c>
      <c r="FT98" s="461">
        <v>0.14042778954381607</v>
      </c>
      <c r="FU98" s="461">
        <v>8.9711111089332038E-2</v>
      </c>
      <c r="FV98" s="461">
        <v>0.10332665708425025</v>
      </c>
      <c r="FW98" s="461">
        <v>0.21180271844814993</v>
      </c>
      <c r="FX98" s="461">
        <v>0.3910964137613458</v>
      </c>
      <c r="FY98" s="461">
        <v>1.5771114432340982</v>
      </c>
      <c r="FZ98" s="461"/>
      <c r="GA98" s="461"/>
      <c r="GB98" s="461"/>
      <c r="GC98" s="461"/>
      <c r="GD98" s="469"/>
      <c r="GE98" s="469"/>
      <c r="GF98" s="469"/>
      <c r="GG98" s="469"/>
      <c r="GH98" s="469"/>
      <c r="GI98" s="469"/>
      <c r="GJ98" s="469">
        <v>-2.0986421132958389E-2</v>
      </c>
      <c r="GK98" s="469">
        <v>2.6099405618754417</v>
      </c>
      <c r="GL98" s="469">
        <v>12.797950218976293</v>
      </c>
      <c r="GM98" s="458"/>
      <c r="GN98" s="464"/>
      <c r="GO98" s="470"/>
      <c r="GP98" s="468"/>
    </row>
    <row r="99" spans="1:198" x14ac:dyDescent="0.25">
      <c r="A99" s="465" t="s">
        <v>1599</v>
      </c>
      <c r="B99" s="461"/>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c r="AA99" s="461"/>
      <c r="AB99" s="461"/>
      <c r="AC99" s="461"/>
      <c r="AD99" s="461"/>
      <c r="AE99" s="461"/>
      <c r="AF99" s="461"/>
      <c r="AG99" s="461"/>
      <c r="AH99" s="461"/>
      <c r="AI99" s="461"/>
      <c r="AJ99" s="461"/>
      <c r="AK99" s="461"/>
      <c r="AL99" s="461"/>
      <c r="AM99" s="461"/>
      <c r="AN99" s="461"/>
      <c r="AO99" s="461"/>
      <c r="AP99" s="461"/>
      <c r="AQ99" s="461">
        <v>17.564262045614075</v>
      </c>
      <c r="AR99" s="461"/>
      <c r="AS99" s="461">
        <v>5.0489533715440071E-2</v>
      </c>
      <c r="AT99" s="461">
        <v>0.45440580343896075</v>
      </c>
      <c r="AU99" s="461">
        <v>0.14843113289322354</v>
      </c>
      <c r="AV99" s="461">
        <v>8.6159650891252521E-2</v>
      </c>
      <c r="AW99" s="461">
        <v>1.6558245907818122E-2</v>
      </c>
      <c r="AX99" s="461"/>
      <c r="AY99" s="461"/>
      <c r="AZ99" s="461"/>
      <c r="BA99" s="461"/>
      <c r="BB99" s="461"/>
      <c r="BC99" s="461"/>
      <c r="BD99" s="461"/>
      <c r="BE99" s="461"/>
      <c r="BF99" s="461"/>
      <c r="BG99" s="461"/>
      <c r="BH99" s="461"/>
      <c r="BI99" s="461"/>
      <c r="BJ99" s="461"/>
      <c r="BK99" s="481">
        <v>45.179632622002877</v>
      </c>
      <c r="BL99" s="461"/>
      <c r="BM99" s="461"/>
      <c r="BN99" s="461"/>
      <c r="BO99" s="461"/>
      <c r="BP99" s="461"/>
      <c r="BQ99" s="461"/>
      <c r="BR99" s="461"/>
      <c r="BS99" s="461"/>
      <c r="BT99" s="461"/>
      <c r="BU99" s="461"/>
      <c r="BV99" s="461"/>
      <c r="BW99" s="461"/>
      <c r="BX99" s="461"/>
      <c r="BY99" s="461"/>
      <c r="BZ99" s="461"/>
      <c r="CA99" s="461"/>
      <c r="CB99" s="461"/>
      <c r="CC99" s="461"/>
      <c r="CD99" s="461"/>
      <c r="CE99" s="461"/>
      <c r="CF99" s="461"/>
      <c r="CG99" s="461"/>
      <c r="CH99" s="461"/>
      <c r="CI99" s="461"/>
      <c r="CJ99" s="461"/>
      <c r="CK99" s="461"/>
      <c r="CL99" s="461"/>
      <c r="CM99" s="461"/>
      <c r="CN99" s="461"/>
      <c r="CO99" s="461"/>
      <c r="CP99" s="461"/>
      <c r="CQ99" s="461"/>
      <c r="CR99" s="461"/>
      <c r="CS99" s="461"/>
      <c r="CT99" s="461"/>
      <c r="CU99" s="461"/>
      <c r="CV99" s="461"/>
      <c r="CW99" s="461"/>
      <c r="CX99" s="461"/>
      <c r="CY99" s="461"/>
      <c r="CZ99" s="461"/>
      <c r="DA99" s="461"/>
      <c r="DB99" s="461"/>
      <c r="DC99" s="461"/>
      <c r="DD99" s="461"/>
      <c r="DE99" s="461"/>
      <c r="DF99" s="461"/>
      <c r="DG99" s="461"/>
      <c r="DH99" s="461"/>
      <c r="DI99" s="461"/>
      <c r="DJ99" s="461"/>
      <c r="DK99" s="461"/>
      <c r="DL99" s="461"/>
      <c r="DM99" s="461"/>
      <c r="DN99" s="461"/>
      <c r="DO99" s="461"/>
      <c r="DP99" s="461"/>
      <c r="DQ99" s="461"/>
      <c r="DR99" s="461"/>
      <c r="DS99" s="461"/>
      <c r="DT99" s="461"/>
      <c r="DU99" s="461"/>
      <c r="DV99" s="461"/>
      <c r="DW99" s="461"/>
      <c r="DX99" s="461"/>
      <c r="DY99" s="461"/>
      <c r="DZ99" s="461"/>
      <c r="EA99" s="461"/>
      <c r="EB99" s="461"/>
      <c r="EC99" s="461"/>
      <c r="ED99" s="461"/>
      <c r="EE99" s="461"/>
      <c r="EF99" s="461"/>
      <c r="EG99" s="461"/>
      <c r="EH99" s="461"/>
      <c r="EI99" s="461"/>
      <c r="EJ99" s="461"/>
      <c r="EK99" s="461"/>
      <c r="EL99" s="461"/>
      <c r="EM99" s="461"/>
      <c r="EN99" s="461"/>
      <c r="EO99" s="461"/>
      <c r="EP99" s="461"/>
      <c r="EQ99" s="461"/>
      <c r="ER99" s="461"/>
      <c r="ES99" s="461"/>
      <c r="ET99" s="461"/>
      <c r="EU99" s="461"/>
      <c r="EV99" s="461"/>
      <c r="EW99" s="461"/>
      <c r="EX99" s="461"/>
      <c r="EY99" s="461"/>
      <c r="EZ99" s="461"/>
      <c r="FA99" s="461"/>
      <c r="FB99" s="461"/>
      <c r="FC99" s="461"/>
      <c r="FD99" s="461"/>
      <c r="FE99" s="461"/>
      <c r="FF99" s="461"/>
      <c r="FG99" s="461"/>
      <c r="FH99" s="461"/>
      <c r="FI99" s="461"/>
      <c r="FJ99" s="461"/>
      <c r="FK99" s="461"/>
      <c r="FL99" s="461"/>
      <c r="FM99" s="461"/>
      <c r="FN99" s="461"/>
      <c r="FO99" s="461"/>
      <c r="FP99" s="461"/>
      <c r="FQ99" s="461"/>
      <c r="FR99" s="461"/>
      <c r="FS99" s="461"/>
      <c r="FT99" s="461"/>
      <c r="FU99" s="461"/>
      <c r="FV99" s="461"/>
      <c r="FW99" s="461"/>
      <c r="FX99" s="461"/>
      <c r="FY99" s="461"/>
      <c r="FZ99" s="461"/>
      <c r="GA99" s="461"/>
      <c r="GB99" s="461"/>
      <c r="GC99" s="461"/>
      <c r="GD99" s="469"/>
      <c r="GE99" s="469"/>
      <c r="GF99" s="469"/>
      <c r="GG99" s="469"/>
      <c r="GH99" s="469"/>
      <c r="GI99" s="469"/>
      <c r="GJ99" s="469"/>
      <c r="GK99" s="469">
        <v>9.9999999816616494E-7</v>
      </c>
      <c r="GL99" s="469">
        <v>63.499940034463641</v>
      </c>
      <c r="GM99" s="458"/>
      <c r="GN99" s="464"/>
      <c r="GO99" s="470"/>
      <c r="GP99" s="468"/>
    </row>
    <row r="100" spans="1:198" x14ac:dyDescent="0.25">
      <c r="A100" s="465" t="s">
        <v>1598</v>
      </c>
      <c r="B100" s="461">
        <v>1.4924691099073453E-3</v>
      </c>
      <c r="C100" s="461">
        <v>5.8829892224390437E-3</v>
      </c>
      <c r="D100" s="461">
        <v>2.5204830763687165E-4</v>
      </c>
      <c r="E100" s="461">
        <v>4.2324266725803352E-3</v>
      </c>
      <c r="F100" s="461">
        <v>1.6608423948895494E-2</v>
      </c>
      <c r="G100" s="461">
        <v>5.6493745788559011E-3</v>
      </c>
      <c r="H100" s="461">
        <v>2.048201786354782E-3</v>
      </c>
      <c r="I100" s="461">
        <v>2.6084376931260742E-3</v>
      </c>
      <c r="J100" s="461">
        <v>2.3498219087874148E-4</v>
      </c>
      <c r="K100" s="461">
        <v>2.6095160936551263E-3</v>
      </c>
      <c r="L100" s="461">
        <v>6.148828396501365E-4</v>
      </c>
      <c r="M100" s="461">
        <v>1.6234553290387912E-3</v>
      </c>
      <c r="N100" s="461"/>
      <c r="O100" s="461"/>
      <c r="P100" s="461"/>
      <c r="Q100" s="461">
        <v>0.17408234671018305</v>
      </c>
      <c r="R100" s="461">
        <v>4.8351879318006934E-3</v>
      </c>
      <c r="S100" s="461"/>
      <c r="T100" s="461">
        <v>1.372277672407014</v>
      </c>
      <c r="U100" s="461">
        <v>0.29211612697405775</v>
      </c>
      <c r="V100" s="461">
        <v>3.1517284787500779E-2</v>
      </c>
      <c r="W100" s="461">
        <v>4.9158063654265602E-2</v>
      </c>
      <c r="X100" s="461">
        <v>0.108930529504895</v>
      </c>
      <c r="Y100" s="461">
        <v>2.5909614915573032E-2</v>
      </c>
      <c r="Z100" s="461">
        <v>4.8345719071406709E-2</v>
      </c>
      <c r="AA100" s="461">
        <v>3.5770274148513477E-3</v>
      </c>
      <c r="AB100" s="461"/>
      <c r="AC100" s="461">
        <v>1.2688849066904079E-3</v>
      </c>
      <c r="AD100" s="461">
        <v>0.11178827445450418</v>
      </c>
      <c r="AE100" s="461">
        <v>0.14824544013690771</v>
      </c>
      <c r="AF100" s="461"/>
      <c r="AG100" s="461"/>
      <c r="AH100" s="461">
        <v>5.6048290968207813E-2</v>
      </c>
      <c r="AI100" s="461">
        <v>0.16505228835541108</v>
      </c>
      <c r="AJ100" s="461">
        <v>1.6434659514612824</v>
      </c>
      <c r="AK100" s="461">
        <v>0.50767937113592887</v>
      </c>
      <c r="AL100" s="461">
        <v>2.740052977726392E-2</v>
      </c>
      <c r="AM100" s="461">
        <v>6.8973531340505937E-3</v>
      </c>
      <c r="AN100" s="461">
        <v>1.1231430617212852</v>
      </c>
      <c r="AO100" s="461">
        <v>2.1026696342266766</v>
      </c>
      <c r="AP100" s="461">
        <v>0.17869528794337339</v>
      </c>
      <c r="AQ100" s="461"/>
      <c r="AR100" s="461"/>
      <c r="AS100" s="461"/>
      <c r="AT100" s="461"/>
      <c r="AU100" s="461"/>
      <c r="AV100" s="461"/>
      <c r="AW100" s="461"/>
      <c r="AX100" s="461">
        <v>1.9545762024559388</v>
      </c>
      <c r="AY100" s="461">
        <v>7.3346480769802502</v>
      </c>
      <c r="AZ100" s="461">
        <v>2.1928144683128915E-2</v>
      </c>
      <c r="BA100" s="461">
        <v>0.36876938088007111</v>
      </c>
      <c r="BB100" s="461">
        <v>0.19595488295223626</v>
      </c>
      <c r="BC100" s="461">
        <v>1.4703991986267429E-3</v>
      </c>
      <c r="BD100" s="461">
        <v>3.6174519465416845E-4</v>
      </c>
      <c r="BE100" s="461">
        <v>0.10889074054051627</v>
      </c>
      <c r="BF100" s="461">
        <v>3.7231003469592683E-2</v>
      </c>
      <c r="BG100" s="461">
        <v>2.1552798109208259E-2</v>
      </c>
      <c r="BH100" s="461">
        <v>2.9558535786838109E-2</v>
      </c>
      <c r="BI100" s="461">
        <v>0.17678993652598332</v>
      </c>
      <c r="BJ100" s="461">
        <v>6.940257426281414E-2</v>
      </c>
      <c r="BK100" s="480"/>
      <c r="BL100" s="461">
        <v>0.48469223229671926</v>
      </c>
      <c r="BM100" s="461"/>
      <c r="BN100" s="461"/>
      <c r="BO100" s="461">
        <v>1.3793894590514829E-2</v>
      </c>
      <c r="BP100" s="461"/>
      <c r="BQ100" s="461"/>
      <c r="BR100" s="461"/>
      <c r="BS100" s="461"/>
      <c r="BT100" s="461"/>
      <c r="BU100" s="461">
        <v>4.1244512177437354E-2</v>
      </c>
      <c r="BV100" s="461">
        <v>5.5535969093691896E-4</v>
      </c>
      <c r="BW100" s="461"/>
      <c r="BX100" s="461">
        <v>0.33802059546887447</v>
      </c>
      <c r="BY100" s="461">
        <v>0.22129123718321136</v>
      </c>
      <c r="BZ100" s="461">
        <v>4.0104627059831928E-2</v>
      </c>
      <c r="CA100" s="461"/>
      <c r="CB100" s="461"/>
      <c r="CC100" s="461"/>
      <c r="CD100" s="461"/>
      <c r="CE100" s="461"/>
      <c r="CF100" s="461"/>
      <c r="CG100" s="461"/>
      <c r="CH100" s="461"/>
      <c r="CI100" s="461"/>
      <c r="CJ100" s="461"/>
      <c r="CK100" s="461"/>
      <c r="CL100" s="461"/>
      <c r="CM100" s="461"/>
      <c r="CN100" s="461"/>
      <c r="CO100" s="461"/>
      <c r="CP100" s="461"/>
      <c r="CQ100" s="461"/>
      <c r="CR100" s="461"/>
      <c r="CS100" s="461"/>
      <c r="CT100" s="461"/>
      <c r="CU100" s="461"/>
      <c r="CV100" s="461"/>
      <c r="CW100" s="461"/>
      <c r="CX100" s="461"/>
      <c r="CY100" s="461"/>
      <c r="CZ100" s="461"/>
      <c r="DA100" s="461"/>
      <c r="DB100" s="461"/>
      <c r="DC100" s="461"/>
      <c r="DD100" s="461"/>
      <c r="DE100" s="461"/>
      <c r="DF100" s="461"/>
      <c r="DG100" s="461"/>
      <c r="DH100" s="461"/>
      <c r="DI100" s="461"/>
      <c r="DJ100" s="461"/>
      <c r="DK100" s="461"/>
      <c r="DL100" s="461"/>
      <c r="DM100" s="461"/>
      <c r="DN100" s="461"/>
      <c r="DO100" s="461"/>
      <c r="DP100" s="461"/>
      <c r="DQ100" s="461"/>
      <c r="DR100" s="461"/>
      <c r="DS100" s="461"/>
      <c r="DT100" s="461"/>
      <c r="DU100" s="461"/>
      <c r="DV100" s="461"/>
      <c r="DW100" s="461"/>
      <c r="DX100" s="461"/>
      <c r="DY100" s="461"/>
      <c r="DZ100" s="461"/>
      <c r="EA100" s="461"/>
      <c r="EB100" s="461"/>
      <c r="EC100" s="461"/>
      <c r="ED100" s="461"/>
      <c r="EE100" s="461"/>
      <c r="EF100" s="461"/>
      <c r="EG100" s="461"/>
      <c r="EH100" s="461"/>
      <c r="EI100" s="461"/>
      <c r="EJ100" s="461"/>
      <c r="EK100" s="461"/>
      <c r="EL100" s="461"/>
      <c r="EM100" s="461"/>
      <c r="EN100" s="461"/>
      <c r="EO100" s="461"/>
      <c r="EP100" s="461"/>
      <c r="EQ100" s="461"/>
      <c r="ER100" s="461"/>
      <c r="ES100" s="461"/>
      <c r="ET100" s="461"/>
      <c r="EU100" s="461"/>
      <c r="EV100" s="461"/>
      <c r="EW100" s="461"/>
      <c r="EX100" s="461"/>
      <c r="EY100" s="461"/>
      <c r="EZ100" s="461"/>
      <c r="FA100" s="461"/>
      <c r="FB100" s="461"/>
      <c r="FC100" s="461"/>
      <c r="FD100" s="461"/>
      <c r="FE100" s="461"/>
      <c r="FF100" s="461"/>
      <c r="FG100" s="461"/>
      <c r="FH100" s="461"/>
      <c r="FI100" s="461"/>
      <c r="FJ100" s="461"/>
      <c r="FK100" s="461"/>
      <c r="FL100" s="461"/>
      <c r="FM100" s="461"/>
      <c r="FN100" s="461"/>
      <c r="FO100" s="461"/>
      <c r="FP100" s="461">
        <v>4.7166842323929752E-2</v>
      </c>
      <c r="FQ100" s="461">
        <v>7.0349495111998117E-2</v>
      </c>
      <c r="FR100" s="461">
        <v>3.1233046166189153E-2</v>
      </c>
      <c r="FS100" s="461">
        <v>2.7052188049304596E-2</v>
      </c>
      <c r="FT100" s="461">
        <v>9.1705123058506713E-2</v>
      </c>
      <c r="FU100" s="461">
        <v>0.1483450059983813</v>
      </c>
      <c r="FV100" s="461">
        <v>0.1186183864427259</v>
      </c>
      <c r="FW100" s="461">
        <v>4.4370012116819325E-2</v>
      </c>
      <c r="FX100" s="461">
        <v>2.0165353551949414E-2</v>
      </c>
      <c r="FY100" s="461">
        <v>2.3690998809994368E-2</v>
      </c>
      <c r="FZ100" s="461"/>
      <c r="GA100" s="461"/>
      <c r="GB100" s="461"/>
      <c r="GC100" s="461"/>
      <c r="GD100" s="469"/>
      <c r="GE100" s="469"/>
      <c r="GF100" s="469"/>
      <c r="GG100" s="469"/>
      <c r="GH100" s="469"/>
      <c r="GI100" s="469"/>
      <c r="GJ100" s="469"/>
      <c r="GK100" s="469">
        <v>66.689067584058009</v>
      </c>
      <c r="GL100" s="469">
        <v>86.999562064561346</v>
      </c>
      <c r="GM100" s="458"/>
      <c r="GN100" s="464"/>
      <c r="GO100" s="470"/>
      <c r="GP100" s="468"/>
    </row>
    <row r="101" spans="1:198" x14ac:dyDescent="0.25">
      <c r="A101" s="465" t="s">
        <v>1595</v>
      </c>
      <c r="B101" s="461"/>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c r="AA101" s="461"/>
      <c r="AB101" s="461"/>
      <c r="AC101" s="461"/>
      <c r="AD101" s="461"/>
      <c r="AE101" s="461"/>
      <c r="AF101" s="461"/>
      <c r="AG101" s="461"/>
      <c r="AH101" s="461"/>
      <c r="AI101" s="461"/>
      <c r="AJ101" s="461"/>
      <c r="AK101" s="461"/>
      <c r="AL101" s="461"/>
      <c r="AM101" s="461"/>
      <c r="AN101" s="461"/>
      <c r="AO101" s="461"/>
      <c r="AP101" s="461"/>
      <c r="AQ101" s="461">
        <v>105.82831066257131</v>
      </c>
      <c r="AR101" s="461"/>
      <c r="AS101" s="461"/>
      <c r="AT101" s="461"/>
      <c r="AU101" s="461"/>
      <c r="AV101" s="461"/>
      <c r="AW101" s="461"/>
      <c r="AX101" s="461"/>
      <c r="AY101" s="461"/>
      <c r="AZ101" s="461"/>
      <c r="BA101" s="461"/>
      <c r="BB101" s="461"/>
      <c r="BC101" s="461"/>
      <c r="BD101" s="461"/>
      <c r="BE101" s="461"/>
      <c r="BF101" s="461"/>
      <c r="BG101" s="461"/>
      <c r="BH101" s="461"/>
      <c r="BI101" s="461"/>
      <c r="BJ101" s="461"/>
      <c r="BK101" s="480"/>
      <c r="BL101" s="461"/>
      <c r="BM101" s="461"/>
      <c r="BN101" s="461"/>
      <c r="BO101" s="461"/>
      <c r="BP101" s="461"/>
      <c r="BQ101" s="461"/>
      <c r="BR101" s="461"/>
      <c r="BS101" s="461"/>
      <c r="BT101" s="461"/>
      <c r="BU101" s="461"/>
      <c r="BV101" s="461"/>
      <c r="BW101" s="461"/>
      <c r="BX101" s="461"/>
      <c r="BY101" s="461"/>
      <c r="BZ101" s="461"/>
      <c r="CA101" s="461"/>
      <c r="CB101" s="461"/>
      <c r="CC101" s="461"/>
      <c r="CD101" s="461"/>
      <c r="CE101" s="461"/>
      <c r="CF101" s="461"/>
      <c r="CG101" s="461"/>
      <c r="CH101" s="461"/>
      <c r="CI101" s="461"/>
      <c r="CJ101" s="461"/>
      <c r="CK101" s="461"/>
      <c r="CL101" s="461"/>
      <c r="CM101" s="461"/>
      <c r="CN101" s="461"/>
      <c r="CO101" s="461"/>
      <c r="CP101" s="461"/>
      <c r="CQ101" s="461"/>
      <c r="CR101" s="461"/>
      <c r="CS101" s="461"/>
      <c r="CT101" s="461"/>
      <c r="CU101" s="461"/>
      <c r="CV101" s="461"/>
      <c r="CW101" s="461"/>
      <c r="CX101" s="461"/>
      <c r="CY101" s="461"/>
      <c r="CZ101" s="461"/>
      <c r="DA101" s="461"/>
      <c r="DB101" s="461"/>
      <c r="DC101" s="461"/>
      <c r="DD101" s="461"/>
      <c r="DE101" s="461"/>
      <c r="DF101" s="461"/>
      <c r="DG101" s="461"/>
      <c r="DH101" s="461"/>
      <c r="DI101" s="461"/>
      <c r="DJ101" s="461"/>
      <c r="DK101" s="461"/>
      <c r="DL101" s="461"/>
      <c r="DM101" s="461"/>
      <c r="DN101" s="461"/>
      <c r="DO101" s="461"/>
      <c r="DP101" s="461"/>
      <c r="DQ101" s="461"/>
      <c r="DR101" s="461"/>
      <c r="DS101" s="461"/>
      <c r="DT101" s="461"/>
      <c r="DU101" s="461"/>
      <c r="DV101" s="461"/>
      <c r="DW101" s="461"/>
      <c r="DX101" s="461"/>
      <c r="DY101" s="461"/>
      <c r="DZ101" s="461"/>
      <c r="EA101" s="461"/>
      <c r="EB101" s="461"/>
      <c r="EC101" s="461"/>
      <c r="ED101" s="461"/>
      <c r="EE101" s="461"/>
      <c r="EF101" s="461"/>
      <c r="EG101" s="461"/>
      <c r="EH101" s="461"/>
      <c r="EI101" s="461"/>
      <c r="EJ101" s="461"/>
      <c r="EK101" s="461"/>
      <c r="EL101" s="461"/>
      <c r="EM101" s="461"/>
      <c r="EN101" s="461"/>
      <c r="EO101" s="461"/>
      <c r="EP101" s="461"/>
      <c r="EQ101" s="461"/>
      <c r="ER101" s="461"/>
      <c r="ES101" s="461"/>
      <c r="ET101" s="461"/>
      <c r="EU101" s="461"/>
      <c r="EV101" s="461"/>
      <c r="EW101" s="461"/>
      <c r="EX101" s="461"/>
      <c r="EY101" s="461"/>
      <c r="EZ101" s="461"/>
      <c r="FA101" s="461"/>
      <c r="FB101" s="461"/>
      <c r="FC101" s="461"/>
      <c r="FD101" s="461"/>
      <c r="FE101" s="461"/>
      <c r="FF101" s="461"/>
      <c r="FG101" s="461"/>
      <c r="FH101" s="461"/>
      <c r="FI101" s="461"/>
      <c r="FJ101" s="461"/>
      <c r="FK101" s="461"/>
      <c r="FL101" s="461"/>
      <c r="FM101" s="461"/>
      <c r="FN101" s="461"/>
      <c r="FO101" s="461"/>
      <c r="FP101" s="461"/>
      <c r="FQ101" s="461"/>
      <c r="FR101" s="461"/>
      <c r="FS101" s="461"/>
      <c r="FT101" s="461"/>
      <c r="FU101" s="461"/>
      <c r="FV101" s="461"/>
      <c r="FW101" s="461"/>
      <c r="FX101" s="461"/>
      <c r="FY101" s="461"/>
      <c r="FZ101" s="461"/>
      <c r="GA101" s="461"/>
      <c r="GB101" s="461"/>
      <c r="GC101" s="461"/>
      <c r="GD101" s="469"/>
      <c r="GE101" s="469"/>
      <c r="GF101" s="469"/>
      <c r="GG101" s="469"/>
      <c r="GH101" s="469"/>
      <c r="GI101" s="469"/>
      <c r="GJ101" s="469"/>
      <c r="GK101" s="469"/>
      <c r="GL101" s="469">
        <v>105.82831066257131</v>
      </c>
      <c r="GM101" s="458"/>
      <c r="GN101" s="464"/>
      <c r="GO101" s="470"/>
      <c r="GP101" s="468"/>
    </row>
    <row r="102" spans="1:198" x14ac:dyDescent="0.25">
      <c r="A102" s="465" t="s">
        <v>1594</v>
      </c>
      <c r="B102" s="461"/>
      <c r="C102" s="461"/>
      <c r="D102" s="461"/>
      <c r="E102" s="461"/>
      <c r="F102" s="461"/>
      <c r="G102" s="461"/>
      <c r="H102" s="461"/>
      <c r="I102" s="461"/>
      <c r="J102" s="461"/>
      <c r="K102" s="461"/>
      <c r="L102" s="461"/>
      <c r="M102" s="461"/>
      <c r="N102" s="461"/>
      <c r="O102" s="461"/>
      <c r="P102" s="461">
        <v>4.2167044155120514E-2</v>
      </c>
      <c r="Q102" s="461">
        <v>1.4339860812127701E-2</v>
      </c>
      <c r="R102" s="461">
        <v>6.8369810894928574E-4</v>
      </c>
      <c r="S102" s="461"/>
      <c r="T102" s="461">
        <v>0.11385182528589215</v>
      </c>
      <c r="U102" s="461">
        <v>4.1989071637910429E-2</v>
      </c>
      <c r="V102" s="461">
        <v>8.5378313679674342E-2</v>
      </c>
      <c r="W102" s="461">
        <v>1.747919414225238E-4</v>
      </c>
      <c r="X102" s="461">
        <v>8.1187644806694651E-4</v>
      </c>
      <c r="Y102" s="461">
        <v>9.3091675186907205E-5</v>
      </c>
      <c r="Z102" s="461">
        <v>1.6890949474224412E-3</v>
      </c>
      <c r="AA102" s="461"/>
      <c r="AB102" s="461"/>
      <c r="AC102" s="461">
        <v>4.2851276646091923E-4</v>
      </c>
      <c r="AD102" s="461">
        <v>5.2977510262627757E-3</v>
      </c>
      <c r="AE102" s="461">
        <v>4.2457289909358428E-3</v>
      </c>
      <c r="AF102" s="461">
        <v>1.8201362025392805E-3</v>
      </c>
      <c r="AG102" s="461"/>
      <c r="AH102" s="461">
        <v>2.3965865225521157E-2</v>
      </c>
      <c r="AI102" s="461">
        <v>4.0437096506868217E-5</v>
      </c>
      <c r="AJ102" s="461">
        <v>1.7898334637110423E-4</v>
      </c>
      <c r="AK102" s="461"/>
      <c r="AL102" s="461"/>
      <c r="AM102" s="461"/>
      <c r="AN102" s="461">
        <v>4.1830472342839859E-3</v>
      </c>
      <c r="AO102" s="461">
        <v>0.16151661</v>
      </c>
      <c r="AP102" s="461">
        <v>3.3587486656607513E-3</v>
      </c>
      <c r="AQ102" s="461">
        <v>3.7454811000000001</v>
      </c>
      <c r="AR102" s="461">
        <v>4.8480615913337874E-3</v>
      </c>
      <c r="AS102" s="461">
        <v>9.9703995788223448E-2</v>
      </c>
      <c r="AT102" s="461">
        <v>0.89733596209401123</v>
      </c>
      <c r="AU102" s="461">
        <v>0.55035384786401786</v>
      </c>
      <c r="AV102" s="461"/>
      <c r="AW102" s="461">
        <v>8.2290732662414018E-2</v>
      </c>
      <c r="AX102" s="461">
        <v>0.39894990000000008</v>
      </c>
      <c r="AY102" s="461">
        <v>0.61972800000000006</v>
      </c>
      <c r="AZ102" s="461">
        <v>7.7466000000000007E-2</v>
      </c>
      <c r="BA102" s="461">
        <v>3.1704937000134295E-4</v>
      </c>
      <c r="BB102" s="461">
        <v>3.8879487607853458E-3</v>
      </c>
      <c r="BC102" s="461"/>
      <c r="BD102" s="461"/>
      <c r="BE102" s="461"/>
      <c r="BF102" s="461">
        <v>7.4442673296950585E-5</v>
      </c>
      <c r="BG102" s="461">
        <v>8.6232761554134888E-4</v>
      </c>
      <c r="BH102" s="461">
        <v>1.5421681055220349E-6</v>
      </c>
      <c r="BI102" s="461">
        <v>3.4746513470067032E-5</v>
      </c>
      <c r="BJ102" s="461">
        <v>3.5288200987649385E-2</v>
      </c>
      <c r="BK102" s="481">
        <v>0.11619900000000004</v>
      </c>
      <c r="BL102" s="461">
        <v>1.5638967089210996E-4</v>
      </c>
      <c r="BM102" s="461">
        <v>9.1251762664834216E-2</v>
      </c>
      <c r="BN102" s="461"/>
      <c r="BO102" s="461">
        <v>9.6166855238433242E-5</v>
      </c>
      <c r="BP102" s="461"/>
      <c r="BQ102" s="461"/>
      <c r="BR102" s="461"/>
      <c r="BS102" s="461"/>
      <c r="BT102" s="461">
        <v>1E-10</v>
      </c>
      <c r="BU102" s="461">
        <v>1.0343923089100172E-3</v>
      </c>
      <c r="BV102" s="461">
        <v>6.6928489659266171E-5</v>
      </c>
      <c r="BW102" s="461"/>
      <c r="BX102" s="461">
        <v>6.2359803381740993E-3</v>
      </c>
      <c r="BY102" s="461">
        <v>9.6379074815370839E-3</v>
      </c>
      <c r="BZ102" s="461">
        <v>2.150523485558899E-2</v>
      </c>
      <c r="CA102" s="461"/>
      <c r="CB102" s="461"/>
      <c r="CC102" s="461"/>
      <c r="CD102" s="461"/>
      <c r="CE102" s="461"/>
      <c r="CF102" s="461"/>
      <c r="CG102" s="461"/>
      <c r="CH102" s="461"/>
      <c r="CI102" s="461"/>
      <c r="CJ102" s="461"/>
      <c r="CK102" s="461"/>
      <c r="CL102" s="461"/>
      <c r="CM102" s="461"/>
      <c r="CN102" s="461"/>
      <c r="CO102" s="461"/>
      <c r="CP102" s="461"/>
      <c r="CQ102" s="461"/>
      <c r="CR102" s="461"/>
      <c r="CS102" s="461"/>
      <c r="CT102" s="461"/>
      <c r="CU102" s="461"/>
      <c r="CV102" s="461"/>
      <c r="CW102" s="461"/>
      <c r="CX102" s="461"/>
      <c r="CY102" s="461"/>
      <c r="CZ102" s="461"/>
      <c r="DA102" s="461"/>
      <c r="DB102" s="461"/>
      <c r="DC102" s="461"/>
      <c r="DD102" s="461"/>
      <c r="DE102" s="461"/>
      <c r="DF102" s="461"/>
      <c r="DG102" s="461"/>
      <c r="DH102" s="461"/>
      <c r="DI102" s="461"/>
      <c r="DJ102" s="461"/>
      <c r="DK102" s="461"/>
      <c r="DL102" s="461"/>
      <c r="DM102" s="461"/>
      <c r="DN102" s="461"/>
      <c r="DO102" s="461"/>
      <c r="DP102" s="461"/>
      <c r="DQ102" s="461"/>
      <c r="DR102" s="461"/>
      <c r="DS102" s="461"/>
      <c r="DT102" s="461"/>
      <c r="DU102" s="461"/>
      <c r="DV102" s="461"/>
      <c r="DW102" s="461"/>
      <c r="DX102" s="461"/>
      <c r="DY102" s="461"/>
      <c r="DZ102" s="461"/>
      <c r="EA102" s="461"/>
      <c r="EB102" s="461"/>
      <c r="EC102" s="461"/>
      <c r="ED102" s="461"/>
      <c r="EE102" s="461"/>
      <c r="EF102" s="461"/>
      <c r="EG102" s="461"/>
      <c r="EH102" s="461"/>
      <c r="EI102" s="461"/>
      <c r="EJ102" s="461"/>
      <c r="EK102" s="461"/>
      <c r="EL102" s="461"/>
      <c r="EM102" s="461"/>
      <c r="EN102" s="461"/>
      <c r="EO102" s="461"/>
      <c r="EP102" s="461"/>
      <c r="EQ102" s="461"/>
      <c r="ER102" s="461"/>
      <c r="ES102" s="461"/>
      <c r="ET102" s="461"/>
      <c r="EU102" s="461"/>
      <c r="EV102" s="461"/>
      <c r="EW102" s="461"/>
      <c r="EX102" s="461"/>
      <c r="EY102" s="461"/>
      <c r="EZ102" s="461"/>
      <c r="FA102" s="461"/>
      <c r="FB102" s="461"/>
      <c r="FC102" s="461"/>
      <c r="FD102" s="461"/>
      <c r="FE102" s="461"/>
      <c r="FF102" s="461"/>
      <c r="FG102" s="461"/>
      <c r="FH102" s="461"/>
      <c r="FI102" s="461"/>
      <c r="FJ102" s="461"/>
      <c r="FK102" s="461"/>
      <c r="FL102" s="461"/>
      <c r="FM102" s="461"/>
      <c r="FN102" s="461"/>
      <c r="FO102" s="461"/>
      <c r="FP102" s="461"/>
      <c r="FQ102" s="461"/>
      <c r="FR102" s="461"/>
      <c r="FS102" s="461"/>
      <c r="FT102" s="461"/>
      <c r="FU102" s="461">
        <v>1.7997454839188568E-3</v>
      </c>
      <c r="FV102" s="461">
        <v>1.4390161969733755E-3</v>
      </c>
      <c r="FW102" s="461">
        <v>5.3820341853209506E-4</v>
      </c>
      <c r="FX102" s="461">
        <v>4.4295126172829788E-5</v>
      </c>
      <c r="FY102" s="461">
        <v>5.2039774402843156E-5</v>
      </c>
      <c r="FZ102" s="461"/>
      <c r="GA102" s="461"/>
      <c r="GB102" s="461"/>
      <c r="GC102" s="461"/>
      <c r="GD102" s="469"/>
      <c r="GE102" s="469"/>
      <c r="GF102" s="469"/>
      <c r="GG102" s="469"/>
      <c r="GH102" s="469"/>
      <c r="GI102" s="469"/>
      <c r="GJ102" s="469"/>
      <c r="GK102" s="469">
        <v>1E-3</v>
      </c>
      <c r="GL102" s="469">
        <v>7.2738954101000006</v>
      </c>
      <c r="GM102" s="458"/>
      <c r="GN102" s="464"/>
      <c r="GO102" s="470"/>
      <c r="GP102" s="468"/>
    </row>
    <row r="103" spans="1:198" x14ac:dyDescent="0.25">
      <c r="A103" s="465" t="s">
        <v>2303</v>
      </c>
      <c r="B103" s="461"/>
      <c r="C103" s="461"/>
      <c r="D103" s="461"/>
      <c r="E103" s="461"/>
      <c r="F103" s="461"/>
      <c r="G103" s="461"/>
      <c r="H103" s="461"/>
      <c r="I103" s="461"/>
      <c r="J103" s="461"/>
      <c r="K103" s="461"/>
      <c r="L103" s="461"/>
      <c r="M103" s="461"/>
      <c r="N103" s="461"/>
      <c r="O103" s="461"/>
      <c r="P103" s="461"/>
      <c r="Q103" s="461"/>
      <c r="R103" s="461"/>
      <c r="S103" s="461"/>
      <c r="T103" s="461"/>
      <c r="U103" s="461">
        <v>4.5927619129097446E-5</v>
      </c>
      <c r="V103" s="461"/>
      <c r="W103" s="461"/>
      <c r="X103" s="461"/>
      <c r="Y103" s="461"/>
      <c r="Z103" s="461"/>
      <c r="AA103" s="461"/>
      <c r="AB103" s="461"/>
      <c r="AC103" s="461"/>
      <c r="AD103" s="461"/>
      <c r="AE103" s="461"/>
      <c r="AF103" s="461"/>
      <c r="AG103" s="461"/>
      <c r="AH103" s="461"/>
      <c r="AI103" s="461"/>
      <c r="AJ103" s="461"/>
      <c r="AK103" s="461"/>
      <c r="AL103" s="461"/>
      <c r="AM103" s="461"/>
      <c r="AN103" s="461"/>
      <c r="AO103" s="461"/>
      <c r="AP103" s="461"/>
      <c r="AQ103" s="461">
        <v>1.6977103122216401E-3</v>
      </c>
      <c r="AR103" s="461"/>
      <c r="AS103" s="461"/>
      <c r="AT103" s="461"/>
      <c r="AU103" s="461"/>
      <c r="AV103" s="461"/>
      <c r="AW103" s="461"/>
      <c r="AX103" s="461">
        <v>1.5228360904648002E-4</v>
      </c>
      <c r="AY103" s="461"/>
      <c r="AZ103" s="461">
        <v>2.9453517650035912</v>
      </c>
      <c r="BA103" s="461"/>
      <c r="BB103" s="461">
        <v>1.3492516180635499</v>
      </c>
      <c r="BC103" s="461"/>
      <c r="BD103" s="461"/>
      <c r="BE103" s="461">
        <v>0.57691493301816377</v>
      </c>
      <c r="BF103" s="461">
        <v>0.72652010203421913</v>
      </c>
      <c r="BG103" s="461">
        <v>3.1765462504222421</v>
      </c>
      <c r="BH103" s="461">
        <v>0.24123833503838937</v>
      </c>
      <c r="BI103" s="461"/>
      <c r="BJ103" s="461">
        <v>0.18962913474667373</v>
      </c>
      <c r="BK103" s="480"/>
      <c r="BL103" s="461"/>
      <c r="BM103" s="461"/>
      <c r="BN103" s="461"/>
      <c r="BO103" s="461"/>
      <c r="BP103" s="461"/>
      <c r="BQ103" s="461"/>
      <c r="BR103" s="461"/>
      <c r="BS103" s="461"/>
      <c r="BT103" s="461"/>
      <c r="BU103" s="461"/>
      <c r="BV103" s="461"/>
      <c r="BW103" s="461"/>
      <c r="BX103" s="461"/>
      <c r="BY103" s="461"/>
      <c r="BZ103" s="461">
        <v>4.7117321704160612E-3</v>
      </c>
      <c r="CA103" s="461"/>
      <c r="CB103" s="461"/>
      <c r="CC103" s="461"/>
      <c r="CD103" s="461"/>
      <c r="CE103" s="461"/>
      <c r="CF103" s="461"/>
      <c r="CG103" s="461"/>
      <c r="CH103" s="461"/>
      <c r="CI103" s="461"/>
      <c r="CJ103" s="461"/>
      <c r="CK103" s="461"/>
      <c r="CL103" s="461"/>
      <c r="CM103" s="461"/>
      <c r="CN103" s="461"/>
      <c r="CO103" s="461"/>
      <c r="CP103" s="461"/>
      <c r="CQ103" s="461"/>
      <c r="CR103" s="461"/>
      <c r="CS103" s="461"/>
      <c r="CT103" s="461"/>
      <c r="CU103" s="461"/>
      <c r="CV103" s="461"/>
      <c r="CW103" s="461"/>
      <c r="CX103" s="461"/>
      <c r="CY103" s="461"/>
      <c r="CZ103" s="461"/>
      <c r="DA103" s="461"/>
      <c r="DB103" s="461"/>
      <c r="DC103" s="461"/>
      <c r="DD103" s="461"/>
      <c r="DE103" s="461"/>
      <c r="DF103" s="461"/>
      <c r="DG103" s="461"/>
      <c r="DH103" s="461"/>
      <c r="DI103" s="461"/>
      <c r="DJ103" s="461"/>
      <c r="DK103" s="461"/>
      <c r="DL103" s="461"/>
      <c r="DM103" s="461"/>
      <c r="DN103" s="461"/>
      <c r="DO103" s="461"/>
      <c r="DP103" s="461"/>
      <c r="DQ103" s="461"/>
      <c r="DR103" s="461"/>
      <c r="DS103" s="461"/>
      <c r="DT103" s="461"/>
      <c r="DU103" s="461"/>
      <c r="DV103" s="461"/>
      <c r="DW103" s="461"/>
      <c r="DX103" s="461"/>
      <c r="DY103" s="461"/>
      <c r="DZ103" s="461"/>
      <c r="EA103" s="461"/>
      <c r="EB103" s="461"/>
      <c r="EC103" s="461"/>
      <c r="ED103" s="461"/>
      <c r="EE103" s="461"/>
      <c r="EF103" s="461"/>
      <c r="EG103" s="461"/>
      <c r="EH103" s="461"/>
      <c r="EI103" s="461"/>
      <c r="EJ103" s="461"/>
      <c r="EK103" s="461"/>
      <c r="EL103" s="461"/>
      <c r="EM103" s="461"/>
      <c r="EN103" s="461"/>
      <c r="EO103" s="461"/>
      <c r="EP103" s="461"/>
      <c r="EQ103" s="461"/>
      <c r="ER103" s="461"/>
      <c r="ES103" s="461"/>
      <c r="ET103" s="461"/>
      <c r="EU103" s="461"/>
      <c r="EV103" s="461"/>
      <c r="EW103" s="461"/>
      <c r="EX103" s="461"/>
      <c r="EY103" s="461"/>
      <c r="EZ103" s="461"/>
      <c r="FA103" s="461"/>
      <c r="FB103" s="461"/>
      <c r="FC103" s="461"/>
      <c r="FD103" s="461"/>
      <c r="FE103" s="461"/>
      <c r="FF103" s="461"/>
      <c r="FG103" s="461"/>
      <c r="FH103" s="461"/>
      <c r="FI103" s="461"/>
      <c r="FJ103" s="461"/>
      <c r="FK103" s="461"/>
      <c r="FL103" s="461"/>
      <c r="FM103" s="461"/>
      <c r="FN103" s="461"/>
      <c r="FO103" s="461"/>
      <c r="FP103" s="461"/>
      <c r="FQ103" s="461"/>
      <c r="FR103" s="461"/>
      <c r="FS103" s="461"/>
      <c r="FT103" s="461"/>
      <c r="FU103" s="461"/>
      <c r="FV103" s="461"/>
      <c r="FW103" s="461"/>
      <c r="FX103" s="461"/>
      <c r="FY103" s="461"/>
      <c r="FZ103" s="461"/>
      <c r="GA103" s="461"/>
      <c r="GB103" s="461"/>
      <c r="GC103" s="461"/>
      <c r="GD103" s="469"/>
      <c r="GE103" s="469"/>
      <c r="GF103" s="469"/>
      <c r="GG103" s="469"/>
      <c r="GH103" s="469"/>
      <c r="GI103" s="469"/>
      <c r="GJ103" s="469">
        <v>0.72318152495381494</v>
      </c>
      <c r="GK103" s="469">
        <v>183.53593231311552</v>
      </c>
      <c r="GL103" s="469">
        <v>193.47117363010699</v>
      </c>
      <c r="GM103" s="458"/>
      <c r="GN103" s="464"/>
      <c r="GO103" s="470"/>
      <c r="GP103" s="468"/>
    </row>
    <row r="104" spans="1:198" x14ac:dyDescent="0.25">
      <c r="A104" s="465" t="s">
        <v>1597</v>
      </c>
      <c r="B104" s="461"/>
      <c r="C104" s="461"/>
      <c r="D104" s="461"/>
      <c r="E104" s="461"/>
      <c r="F104" s="461"/>
      <c r="G104" s="461"/>
      <c r="H104" s="461"/>
      <c r="I104" s="461"/>
      <c r="J104" s="461"/>
      <c r="K104" s="461"/>
      <c r="L104" s="461"/>
      <c r="M104" s="461"/>
      <c r="N104" s="461"/>
      <c r="O104" s="461"/>
      <c r="P104" s="461">
        <v>1.0612205782547872E-2</v>
      </c>
      <c r="Q104" s="461"/>
      <c r="R104" s="461">
        <v>7.6020681244028707E-7</v>
      </c>
      <c r="S104" s="461"/>
      <c r="T104" s="461"/>
      <c r="U104" s="461"/>
      <c r="V104" s="461"/>
      <c r="W104" s="461"/>
      <c r="X104" s="461"/>
      <c r="Y104" s="461"/>
      <c r="Z104" s="461"/>
      <c r="AA104" s="461"/>
      <c r="AB104" s="461"/>
      <c r="AC104" s="461"/>
      <c r="AD104" s="461"/>
      <c r="AE104" s="461"/>
      <c r="AF104" s="461"/>
      <c r="AG104" s="461"/>
      <c r="AH104" s="461"/>
      <c r="AI104" s="461"/>
      <c r="AJ104" s="461"/>
      <c r="AK104" s="461"/>
      <c r="AL104" s="461"/>
      <c r="AM104" s="461"/>
      <c r="AN104" s="461">
        <v>1.3993521337591746E-2</v>
      </c>
      <c r="AO104" s="461"/>
      <c r="AP104" s="461">
        <v>5.0229844943742812E-4</v>
      </c>
      <c r="AQ104" s="461">
        <v>8.5007836378098861E-3</v>
      </c>
      <c r="AR104" s="461"/>
      <c r="AS104" s="461"/>
      <c r="AT104" s="461"/>
      <c r="AU104" s="461"/>
      <c r="AV104" s="461"/>
      <c r="AW104" s="461"/>
      <c r="AX104" s="461">
        <v>7.617742364277372E-5</v>
      </c>
      <c r="AY104" s="461">
        <v>42.567327604486387</v>
      </c>
      <c r="AZ104" s="461">
        <v>7.4340284698359174</v>
      </c>
      <c r="BA104" s="461">
        <v>2.3860122166328033</v>
      </c>
      <c r="BB104" s="461">
        <v>1.0978377892228384</v>
      </c>
      <c r="BC104" s="461">
        <v>2.7308353579121994E-2</v>
      </c>
      <c r="BD104" s="461">
        <v>6.7183562738543211E-3</v>
      </c>
      <c r="BE104" s="461">
        <v>1.6840727475773396</v>
      </c>
      <c r="BF104" s="461">
        <v>0.13295774228119606</v>
      </c>
      <c r="BG104" s="461">
        <v>0.14227816934933779</v>
      </c>
      <c r="BH104" s="461">
        <v>6.0178341622565912E-2</v>
      </c>
      <c r="BI104" s="461"/>
      <c r="BJ104" s="461">
        <v>8.9684260983418279E-2</v>
      </c>
      <c r="BK104" s="480"/>
      <c r="BL104" s="461"/>
      <c r="BM104" s="461"/>
      <c r="BN104" s="461"/>
      <c r="BO104" s="461"/>
      <c r="BP104" s="461"/>
      <c r="BQ104" s="461"/>
      <c r="BR104" s="461"/>
      <c r="BS104" s="461"/>
      <c r="BT104" s="461"/>
      <c r="BU104" s="461"/>
      <c r="BV104" s="461"/>
      <c r="BW104" s="461"/>
      <c r="BX104" s="461">
        <v>4.4739922014517113</v>
      </c>
      <c r="BY104" s="461"/>
      <c r="BZ104" s="461">
        <v>1.9601542037082443E-3</v>
      </c>
      <c r="CA104" s="461"/>
      <c r="CB104" s="461"/>
      <c r="CC104" s="461"/>
      <c r="CD104" s="461"/>
      <c r="CE104" s="461"/>
      <c r="CF104" s="461"/>
      <c r="CG104" s="461"/>
      <c r="CH104" s="461"/>
      <c r="CI104" s="461"/>
      <c r="CJ104" s="461"/>
      <c r="CK104" s="461"/>
      <c r="CL104" s="461"/>
      <c r="CM104" s="461"/>
      <c r="CN104" s="461"/>
      <c r="CO104" s="461"/>
      <c r="CP104" s="461"/>
      <c r="CQ104" s="461"/>
      <c r="CR104" s="461"/>
      <c r="CS104" s="461"/>
      <c r="CT104" s="461"/>
      <c r="CU104" s="461"/>
      <c r="CV104" s="461"/>
      <c r="CW104" s="461"/>
      <c r="CX104" s="461"/>
      <c r="CY104" s="461"/>
      <c r="CZ104" s="461"/>
      <c r="DA104" s="461"/>
      <c r="DB104" s="461"/>
      <c r="DC104" s="461"/>
      <c r="DD104" s="461"/>
      <c r="DE104" s="461"/>
      <c r="DF104" s="461"/>
      <c r="DG104" s="461"/>
      <c r="DH104" s="461"/>
      <c r="DI104" s="461"/>
      <c r="DJ104" s="461"/>
      <c r="DK104" s="461"/>
      <c r="DL104" s="461"/>
      <c r="DM104" s="461"/>
      <c r="DN104" s="461"/>
      <c r="DO104" s="461"/>
      <c r="DP104" s="461"/>
      <c r="DQ104" s="461"/>
      <c r="DR104" s="461"/>
      <c r="DS104" s="461"/>
      <c r="DT104" s="461"/>
      <c r="DU104" s="461"/>
      <c r="DV104" s="461"/>
      <c r="DW104" s="461"/>
      <c r="DX104" s="461"/>
      <c r="DY104" s="461"/>
      <c r="DZ104" s="461"/>
      <c r="EA104" s="461"/>
      <c r="EB104" s="461"/>
      <c r="EC104" s="461"/>
      <c r="ED104" s="461"/>
      <c r="EE104" s="461"/>
      <c r="EF104" s="461"/>
      <c r="EG104" s="461"/>
      <c r="EH104" s="461"/>
      <c r="EI104" s="461"/>
      <c r="EJ104" s="461"/>
      <c r="EK104" s="461"/>
      <c r="EL104" s="461"/>
      <c r="EM104" s="461"/>
      <c r="EN104" s="461"/>
      <c r="EO104" s="461"/>
      <c r="EP104" s="461"/>
      <c r="EQ104" s="461"/>
      <c r="ER104" s="461"/>
      <c r="ES104" s="461"/>
      <c r="ET104" s="461"/>
      <c r="EU104" s="461"/>
      <c r="EV104" s="461"/>
      <c r="EW104" s="461"/>
      <c r="EX104" s="461"/>
      <c r="EY104" s="461"/>
      <c r="EZ104" s="461"/>
      <c r="FA104" s="461"/>
      <c r="FB104" s="461"/>
      <c r="FC104" s="461"/>
      <c r="FD104" s="461"/>
      <c r="FE104" s="461"/>
      <c r="FF104" s="461"/>
      <c r="FG104" s="461"/>
      <c r="FH104" s="461"/>
      <c r="FI104" s="461"/>
      <c r="FJ104" s="461"/>
      <c r="FK104" s="461"/>
      <c r="FL104" s="461"/>
      <c r="FM104" s="461"/>
      <c r="FN104" s="461"/>
      <c r="FO104" s="461"/>
      <c r="FP104" s="461"/>
      <c r="FQ104" s="461"/>
      <c r="FR104" s="461"/>
      <c r="FS104" s="461"/>
      <c r="FT104" s="461"/>
      <c r="FU104" s="461"/>
      <c r="FV104" s="461"/>
      <c r="FW104" s="461"/>
      <c r="FX104" s="461"/>
      <c r="FY104" s="461"/>
      <c r="FZ104" s="461"/>
      <c r="GA104" s="461"/>
      <c r="GB104" s="461"/>
      <c r="GC104" s="461"/>
      <c r="GD104" s="469"/>
      <c r="GE104" s="469"/>
      <c r="GF104" s="469"/>
      <c r="GG104" s="469"/>
      <c r="GH104" s="469"/>
      <c r="GI104" s="469"/>
      <c r="GJ104" s="469">
        <v>0.75041167562031386</v>
      </c>
      <c r="GK104" s="469">
        <v>159.1472190376812</v>
      </c>
      <c r="GL104" s="469">
        <v>220.03567286763956</v>
      </c>
      <c r="GM104" s="458"/>
      <c r="GN104" s="464"/>
      <c r="GO104" s="470"/>
      <c r="GP104" s="468"/>
    </row>
    <row r="105" spans="1:198" x14ac:dyDescent="0.25">
      <c r="A105" s="465" t="s">
        <v>1596</v>
      </c>
      <c r="B105" s="461">
        <v>0.12316022510275952</v>
      </c>
      <c r="C105" s="461">
        <v>0.47778443667995829</v>
      </c>
      <c r="D105" s="461">
        <v>2.0581960881076455E-2</v>
      </c>
      <c r="E105" s="461">
        <v>0.35539674722786851</v>
      </c>
      <c r="F105" s="461">
        <v>1.3840899613621771</v>
      </c>
      <c r="G105" s="461">
        <v>0.46556420834578949</v>
      </c>
      <c r="H105" s="461">
        <v>0.16723618800335291</v>
      </c>
      <c r="I105" s="461">
        <v>0.21427203340289033</v>
      </c>
      <c r="J105" s="461">
        <v>1.9453075603308452E-2</v>
      </c>
      <c r="K105" s="461">
        <v>0.21438095478039093</v>
      </c>
      <c r="L105" s="461">
        <v>5.0572232613254053E-2</v>
      </c>
      <c r="M105" s="461">
        <v>0.13378160434192041</v>
      </c>
      <c r="N105" s="461">
        <v>0.40858148444271436</v>
      </c>
      <c r="O105" s="461">
        <v>4.7126427779313369E-2</v>
      </c>
      <c r="P105" s="461">
        <v>0.28401819050897342</v>
      </c>
      <c r="Q105" s="461">
        <v>9.6586834614929368E-2</v>
      </c>
      <c r="R105" s="461">
        <v>4.6050820883683577E-3</v>
      </c>
      <c r="S105" s="461"/>
      <c r="T105" s="461">
        <v>0.76685454367842354</v>
      </c>
      <c r="U105" s="461">
        <v>0.27753066770801527</v>
      </c>
      <c r="V105" s="461">
        <v>0.65350751659223749</v>
      </c>
      <c r="W105" s="461">
        <v>1.3379023622782456E-3</v>
      </c>
      <c r="X105" s="461">
        <v>6.2143106192816128E-3</v>
      </c>
      <c r="Y105" s="461">
        <v>7.1254756442079895E-4</v>
      </c>
      <c r="Z105" s="461">
        <v>1.2928766062538443E-2</v>
      </c>
      <c r="AA105" s="461"/>
      <c r="AB105" s="461"/>
      <c r="AC105" s="461">
        <v>3.279946648848041E-3</v>
      </c>
      <c r="AD105" s="461">
        <v>4.0550345485696519E-2</v>
      </c>
      <c r="AE105" s="461">
        <v>3.2497898932509484E-2</v>
      </c>
      <c r="AF105" s="461">
        <v>1.3931789447655062E-2</v>
      </c>
      <c r="AG105" s="461"/>
      <c r="AH105" s="461">
        <v>0.18344088084563739</v>
      </c>
      <c r="AI105" s="461">
        <v>3.0951591074461807E-4</v>
      </c>
      <c r="AJ105" s="461">
        <v>3.671821270666021E-2</v>
      </c>
      <c r="AK105" s="461"/>
      <c r="AL105" s="461"/>
      <c r="AM105" s="461"/>
      <c r="AN105" s="461">
        <v>0.85814697973064002</v>
      </c>
      <c r="AO105" s="461">
        <v>5.5691987227076689E-3</v>
      </c>
      <c r="AP105" s="461">
        <v>0.68904314526691102</v>
      </c>
      <c r="AQ105" s="461">
        <v>4.4007166836873983</v>
      </c>
      <c r="AR105" s="461">
        <v>4.5682575956030556E-2</v>
      </c>
      <c r="AS105" s="461">
        <v>0.93949618314609329</v>
      </c>
      <c r="AT105" s="461">
        <v>8.4554656483148403</v>
      </c>
      <c r="AU105" s="461">
        <v>5.1859038884084772</v>
      </c>
      <c r="AV105" s="461"/>
      <c r="AW105" s="461">
        <v>0.77541354921068484</v>
      </c>
      <c r="AX105" s="461">
        <v>24.654407854751582</v>
      </c>
      <c r="AY105" s="461">
        <v>0.37379342974537699</v>
      </c>
      <c r="AZ105" s="461">
        <v>0.20321801429842237</v>
      </c>
      <c r="BA105" s="461">
        <v>6.5042287130359366E-2</v>
      </c>
      <c r="BB105" s="461">
        <v>0.79760789193826243</v>
      </c>
      <c r="BC105" s="461"/>
      <c r="BD105" s="461"/>
      <c r="BE105" s="461"/>
      <c r="BF105" s="461">
        <v>1.5271822591261692E-2</v>
      </c>
      <c r="BG105" s="461">
        <v>0.17690544652475096</v>
      </c>
      <c r="BH105" s="461">
        <v>3.1637388436451294E-4</v>
      </c>
      <c r="BI105" s="461">
        <v>7.1282043736261846E-3</v>
      </c>
      <c r="BJ105" s="461">
        <v>7.2393308996097367</v>
      </c>
      <c r="BK105" s="481">
        <v>0.68400464218711199</v>
      </c>
      <c r="BL105" s="461">
        <v>6.3632050545718979E-2</v>
      </c>
      <c r="BM105" s="461">
        <v>18.720186538684537</v>
      </c>
      <c r="BN105" s="461"/>
      <c r="BO105" s="461">
        <v>3.9128506111995087E-2</v>
      </c>
      <c r="BP105" s="461">
        <v>0.29135340854665109</v>
      </c>
      <c r="BQ105" s="461">
        <v>0.97552533563610722</v>
      </c>
      <c r="BR105" s="461">
        <v>0.17550696581281852</v>
      </c>
      <c r="BS105" s="461">
        <v>0.16164902120277932</v>
      </c>
      <c r="BT105" s="461"/>
      <c r="BU105" s="461">
        <v>0.42087500606145151</v>
      </c>
      <c r="BV105" s="461">
        <v>2.7231958560006899E-2</v>
      </c>
      <c r="BW105" s="461"/>
      <c r="BX105" s="461">
        <v>2.5373045023833702</v>
      </c>
      <c r="BY105" s="461">
        <v>3.9214854313698257</v>
      </c>
      <c r="BZ105" s="461">
        <v>8.7500803826899993</v>
      </c>
      <c r="CA105" s="461"/>
      <c r="CB105" s="461"/>
      <c r="CC105" s="461"/>
      <c r="CD105" s="461"/>
      <c r="CE105" s="461"/>
      <c r="CF105" s="461"/>
      <c r="CG105" s="461"/>
      <c r="CH105" s="461"/>
      <c r="CI105" s="461"/>
      <c r="CJ105" s="461"/>
      <c r="CK105" s="461"/>
      <c r="CL105" s="461"/>
      <c r="CM105" s="461"/>
      <c r="CN105" s="461"/>
      <c r="CO105" s="461"/>
      <c r="CP105" s="461"/>
      <c r="CQ105" s="461"/>
      <c r="CR105" s="461"/>
      <c r="CS105" s="461"/>
      <c r="CT105" s="461"/>
      <c r="CU105" s="461"/>
      <c r="CV105" s="461"/>
      <c r="CW105" s="461"/>
      <c r="CX105" s="461"/>
      <c r="CY105" s="461"/>
      <c r="CZ105" s="461"/>
      <c r="DA105" s="461"/>
      <c r="DB105" s="461"/>
      <c r="DC105" s="461"/>
      <c r="DD105" s="461"/>
      <c r="DE105" s="461"/>
      <c r="DF105" s="461"/>
      <c r="DG105" s="461"/>
      <c r="DH105" s="461"/>
      <c r="DI105" s="461"/>
      <c r="DJ105" s="461"/>
      <c r="DK105" s="461"/>
      <c r="DL105" s="461"/>
      <c r="DM105" s="461"/>
      <c r="DN105" s="461"/>
      <c r="DO105" s="461"/>
      <c r="DP105" s="461"/>
      <c r="DQ105" s="461"/>
      <c r="DR105" s="461"/>
      <c r="DS105" s="461"/>
      <c r="DT105" s="461"/>
      <c r="DU105" s="461"/>
      <c r="DV105" s="461"/>
      <c r="DW105" s="461"/>
      <c r="DX105" s="461"/>
      <c r="DY105" s="461"/>
      <c r="DZ105" s="461"/>
      <c r="EA105" s="461"/>
      <c r="EB105" s="461"/>
      <c r="EC105" s="461"/>
      <c r="ED105" s="461"/>
      <c r="EE105" s="461"/>
      <c r="EF105" s="461"/>
      <c r="EG105" s="461"/>
      <c r="EH105" s="461"/>
      <c r="EI105" s="461"/>
      <c r="EJ105" s="461"/>
      <c r="EK105" s="461"/>
      <c r="EL105" s="461"/>
      <c r="EM105" s="461"/>
      <c r="EN105" s="461"/>
      <c r="EO105" s="461"/>
      <c r="EP105" s="461"/>
      <c r="EQ105" s="461"/>
      <c r="ER105" s="461"/>
      <c r="ES105" s="461"/>
      <c r="ET105" s="461"/>
      <c r="EU105" s="461"/>
      <c r="EV105" s="461"/>
      <c r="EW105" s="461"/>
      <c r="EX105" s="461"/>
      <c r="EY105" s="461"/>
      <c r="EZ105" s="461"/>
      <c r="FA105" s="461"/>
      <c r="FB105" s="461"/>
      <c r="FC105" s="461"/>
      <c r="FD105" s="461"/>
      <c r="FE105" s="461"/>
      <c r="FF105" s="461"/>
      <c r="FG105" s="461"/>
      <c r="FH105" s="461"/>
      <c r="FI105" s="461"/>
      <c r="FJ105" s="461"/>
      <c r="FK105" s="461"/>
      <c r="FL105" s="461"/>
      <c r="FM105" s="461"/>
      <c r="FN105" s="461"/>
      <c r="FO105" s="461"/>
      <c r="FP105" s="461">
        <v>0.51946562069491531</v>
      </c>
      <c r="FQ105" s="461">
        <v>0.77482569641734622</v>
      </c>
      <c r="FR105" s="461">
        <v>0.34397001738079941</v>
      </c>
      <c r="FS105" s="461">
        <v>0.29792358570220334</v>
      </c>
      <c r="FT105" s="461">
        <v>1.0101223681227309</v>
      </c>
      <c r="FU105" s="461">
        <v>0.29959040214135529</v>
      </c>
      <c r="FV105" s="461">
        <v>0.23954244919145165</v>
      </c>
      <c r="FW105" s="461">
        <v>8.9590767157136639E-2</v>
      </c>
      <c r="FX105" s="461">
        <v>7.3734840740505812E-3</v>
      </c>
      <c r="FY105" s="461">
        <v>8.6626787398545891E-3</v>
      </c>
      <c r="FZ105" s="461"/>
      <c r="GA105" s="461"/>
      <c r="GB105" s="461"/>
      <c r="GC105" s="461"/>
      <c r="GD105" s="469"/>
      <c r="GE105" s="469"/>
      <c r="GF105" s="469"/>
      <c r="GG105" s="469"/>
      <c r="GH105" s="469"/>
      <c r="GI105" s="469"/>
      <c r="GJ105" s="469">
        <v>1.4620353204702685</v>
      </c>
      <c r="GK105" s="469">
        <v>106.4293960747688</v>
      </c>
      <c r="GL105" s="469">
        <v>209.63592878428881</v>
      </c>
      <c r="GM105" s="458"/>
      <c r="GN105" s="464"/>
      <c r="GO105" s="470"/>
      <c r="GP105" s="468"/>
    </row>
    <row r="106" spans="1:198" x14ac:dyDescent="0.25">
      <c r="A106" s="465" t="s">
        <v>2304</v>
      </c>
      <c r="B106" s="461"/>
      <c r="C106" s="461"/>
      <c r="D106" s="461"/>
      <c r="E106" s="461"/>
      <c r="F106" s="461"/>
      <c r="G106" s="461"/>
      <c r="H106" s="461"/>
      <c r="I106" s="461"/>
      <c r="J106" s="461"/>
      <c r="K106" s="461"/>
      <c r="L106" s="461"/>
      <c r="M106" s="461"/>
      <c r="N106" s="461"/>
      <c r="O106" s="461"/>
      <c r="P106" s="461"/>
      <c r="Q106" s="461"/>
      <c r="R106" s="461"/>
      <c r="S106" s="461"/>
      <c r="T106" s="461"/>
      <c r="U106" s="461"/>
      <c r="V106" s="461">
        <v>5.1283565913791511</v>
      </c>
      <c r="W106" s="461">
        <v>3.9582458332787999E-2</v>
      </c>
      <c r="X106" s="461">
        <v>8.2724670230083383E-2</v>
      </c>
      <c r="Y106" s="461"/>
      <c r="Z106" s="461">
        <v>6.770326265890257E-3</v>
      </c>
      <c r="AA106" s="461"/>
      <c r="AB106" s="461"/>
      <c r="AC106" s="461">
        <v>0.11248434217546088</v>
      </c>
      <c r="AD106" s="461">
        <v>0.66680933304105428</v>
      </c>
      <c r="AE106" s="461"/>
      <c r="AF106" s="461">
        <v>1.0662879622080708E-2</v>
      </c>
      <c r="AG106" s="461"/>
      <c r="AH106" s="461">
        <v>0.51965972545083539</v>
      </c>
      <c r="AI106" s="461">
        <v>5.547559128320446E-5</v>
      </c>
      <c r="AJ106" s="461"/>
      <c r="AK106" s="461"/>
      <c r="AL106" s="461"/>
      <c r="AM106" s="461"/>
      <c r="AN106" s="461"/>
      <c r="AO106" s="461">
        <v>4.7873530290140805E-2</v>
      </c>
      <c r="AP106" s="461"/>
      <c r="AQ106" s="461"/>
      <c r="AR106" s="461"/>
      <c r="AS106" s="461"/>
      <c r="AT106" s="461"/>
      <c r="AU106" s="461">
        <v>4.6470950488083258E-3</v>
      </c>
      <c r="AV106" s="461"/>
      <c r="AW106" s="461"/>
      <c r="AX106" s="461"/>
      <c r="AY106" s="461"/>
      <c r="AZ106" s="461"/>
      <c r="BA106" s="461"/>
      <c r="BB106" s="461">
        <v>2.2394156217331897E-2</v>
      </c>
      <c r="BC106" s="461"/>
      <c r="BD106" s="461"/>
      <c r="BE106" s="461"/>
      <c r="BF106" s="461"/>
      <c r="BG106" s="461"/>
      <c r="BH106" s="461"/>
      <c r="BI106" s="461"/>
      <c r="BJ106" s="461">
        <v>0.12473362150565663</v>
      </c>
      <c r="BK106" s="480">
        <v>0.11398103444316993</v>
      </c>
      <c r="BL106" s="461"/>
      <c r="BM106" s="461"/>
      <c r="BN106" s="461"/>
      <c r="BO106" s="461">
        <v>2.0747051037731157</v>
      </c>
      <c r="BP106" s="461">
        <v>6.9709982251514322E-3</v>
      </c>
      <c r="BQ106" s="461">
        <v>2.3312021327370029E-2</v>
      </c>
      <c r="BR106" s="461">
        <v>4.2234856005887167E-3</v>
      </c>
      <c r="BS106" s="461">
        <v>3.8910157545274837E-3</v>
      </c>
      <c r="BT106" s="461"/>
      <c r="BU106" s="461">
        <v>1.0087981873469725E-2</v>
      </c>
      <c r="BV106" s="461">
        <v>1.7063158646352307E-2</v>
      </c>
      <c r="BW106" s="461"/>
      <c r="BX106" s="461">
        <v>1.6847719535576382</v>
      </c>
      <c r="BY106" s="461">
        <v>1.004284811995003</v>
      </c>
      <c r="BZ106" s="461">
        <v>1.6161333943417169</v>
      </c>
      <c r="CA106" s="461"/>
      <c r="CB106" s="461"/>
      <c r="CC106" s="461"/>
      <c r="CD106" s="461"/>
      <c r="CE106" s="461"/>
      <c r="CF106" s="461"/>
      <c r="CG106" s="461"/>
      <c r="CH106" s="461"/>
      <c r="CI106" s="461"/>
      <c r="CJ106" s="461"/>
      <c r="CK106" s="461"/>
      <c r="CL106" s="461"/>
      <c r="CM106" s="461"/>
      <c r="CN106" s="461"/>
      <c r="CO106" s="461"/>
      <c r="CP106" s="461"/>
      <c r="CQ106" s="461"/>
      <c r="CR106" s="461"/>
      <c r="CS106" s="461"/>
      <c r="CT106" s="461"/>
      <c r="CU106" s="461"/>
      <c r="CV106" s="461"/>
      <c r="CW106" s="461"/>
      <c r="CX106" s="461"/>
      <c r="CY106" s="461"/>
      <c r="CZ106" s="461"/>
      <c r="DA106" s="461"/>
      <c r="DB106" s="461"/>
      <c r="DC106" s="461"/>
      <c r="DD106" s="461"/>
      <c r="DE106" s="461"/>
      <c r="DF106" s="461"/>
      <c r="DG106" s="461"/>
      <c r="DH106" s="461"/>
      <c r="DI106" s="461"/>
      <c r="DJ106" s="461"/>
      <c r="DK106" s="461"/>
      <c r="DL106" s="461"/>
      <c r="DM106" s="461"/>
      <c r="DN106" s="461"/>
      <c r="DO106" s="461"/>
      <c r="DP106" s="461"/>
      <c r="DQ106" s="461"/>
      <c r="DR106" s="461"/>
      <c r="DS106" s="461"/>
      <c r="DT106" s="461"/>
      <c r="DU106" s="461"/>
      <c r="DV106" s="461"/>
      <c r="DW106" s="461"/>
      <c r="DX106" s="461"/>
      <c r="DY106" s="461"/>
      <c r="DZ106" s="461"/>
      <c r="EA106" s="461"/>
      <c r="EB106" s="461"/>
      <c r="EC106" s="461"/>
      <c r="ED106" s="461"/>
      <c r="EE106" s="461"/>
      <c r="EF106" s="461"/>
      <c r="EG106" s="461"/>
      <c r="EH106" s="461"/>
      <c r="EI106" s="461"/>
      <c r="EJ106" s="461"/>
      <c r="EK106" s="461"/>
      <c r="EL106" s="461"/>
      <c r="EM106" s="461"/>
      <c r="EN106" s="461"/>
      <c r="EO106" s="461"/>
      <c r="EP106" s="461"/>
      <c r="EQ106" s="461"/>
      <c r="ER106" s="461"/>
      <c r="ES106" s="461"/>
      <c r="ET106" s="461"/>
      <c r="EU106" s="461"/>
      <c r="EV106" s="461"/>
      <c r="EW106" s="461"/>
      <c r="EX106" s="461"/>
      <c r="EY106" s="461"/>
      <c r="EZ106" s="461"/>
      <c r="FA106" s="461"/>
      <c r="FB106" s="461"/>
      <c r="FC106" s="461"/>
      <c r="FD106" s="461"/>
      <c r="FE106" s="461"/>
      <c r="FF106" s="461"/>
      <c r="FG106" s="461"/>
      <c r="FH106" s="461"/>
      <c r="FI106" s="461"/>
      <c r="FJ106" s="461"/>
      <c r="FK106" s="461"/>
      <c r="FL106" s="461"/>
      <c r="FM106" s="461"/>
      <c r="FN106" s="461"/>
      <c r="FO106" s="461"/>
      <c r="FP106" s="461">
        <v>3.2775870335500974</v>
      </c>
      <c r="FQ106" s="461">
        <v>4.7038429024459685</v>
      </c>
      <c r="FR106" s="461">
        <v>5.5072001531102597</v>
      </c>
      <c r="FS106" s="461">
        <v>6.1901750116063177</v>
      </c>
      <c r="FT106" s="461">
        <v>6.7144289894148761</v>
      </c>
      <c r="FU106" s="461">
        <v>7.5009408652527592</v>
      </c>
      <c r="FV106" s="461">
        <v>7.5301529992128557</v>
      </c>
      <c r="FW106" s="461">
        <v>9.8426509606094221</v>
      </c>
      <c r="FX106" s="461">
        <v>10.870826587919815</v>
      </c>
      <c r="FY106" s="461">
        <v>12.813527173679502</v>
      </c>
      <c r="FZ106" s="461"/>
      <c r="GA106" s="461"/>
      <c r="GB106" s="461"/>
      <c r="GC106" s="461"/>
      <c r="GD106" s="469"/>
      <c r="GE106" s="469"/>
      <c r="GF106" s="469"/>
      <c r="GG106" s="469"/>
      <c r="GH106" s="469"/>
      <c r="GI106" s="469"/>
      <c r="GJ106" s="469">
        <v>-0.29378501959115538</v>
      </c>
      <c r="GK106" s="469">
        <v>6.4326122225118105</v>
      </c>
      <c r="GL106" s="469">
        <v>94.416339044411203</v>
      </c>
      <c r="GM106" s="458"/>
      <c r="GN106" s="464"/>
      <c r="GO106" s="470"/>
      <c r="GP106" s="468"/>
    </row>
    <row r="107" spans="1:198" x14ac:dyDescent="0.25">
      <c r="A107" s="465" t="s">
        <v>2305</v>
      </c>
      <c r="B107" s="461"/>
      <c r="C107" s="461"/>
      <c r="D107" s="461"/>
      <c r="E107" s="461"/>
      <c r="F107" s="461"/>
      <c r="G107" s="461"/>
      <c r="H107" s="461"/>
      <c r="I107" s="461"/>
      <c r="J107" s="461"/>
      <c r="K107" s="461"/>
      <c r="L107" s="461"/>
      <c r="M107" s="461"/>
      <c r="N107" s="461"/>
      <c r="O107" s="461"/>
      <c r="P107" s="461"/>
      <c r="Q107" s="461"/>
      <c r="R107" s="461"/>
      <c r="S107" s="461"/>
      <c r="T107" s="461"/>
      <c r="U107" s="461"/>
      <c r="V107" s="461">
        <v>0.20676206651420129</v>
      </c>
      <c r="W107" s="461">
        <v>4.2711460750756123</v>
      </c>
      <c r="X107" s="461"/>
      <c r="Y107" s="461"/>
      <c r="Z107" s="461"/>
      <c r="AA107" s="461">
        <v>3.1385923759421388</v>
      </c>
      <c r="AB107" s="461"/>
      <c r="AC107" s="461">
        <v>6.5383288520040086</v>
      </c>
      <c r="AD107" s="461">
        <v>5.6137639076021484E-2</v>
      </c>
      <c r="AE107" s="461"/>
      <c r="AF107" s="461"/>
      <c r="AG107" s="461"/>
      <c r="AH107" s="461">
        <v>2.1139104994921527</v>
      </c>
      <c r="AI107" s="461"/>
      <c r="AJ107" s="461"/>
      <c r="AK107" s="461"/>
      <c r="AL107" s="461"/>
      <c r="AM107" s="461"/>
      <c r="AN107" s="461"/>
      <c r="AO107" s="461"/>
      <c r="AP107" s="461"/>
      <c r="AQ107" s="461"/>
      <c r="AR107" s="461"/>
      <c r="AS107" s="461"/>
      <c r="AT107" s="461"/>
      <c r="AU107" s="461"/>
      <c r="AV107" s="461"/>
      <c r="AW107" s="461"/>
      <c r="AX107" s="461"/>
      <c r="AY107" s="461"/>
      <c r="AZ107" s="461"/>
      <c r="BA107" s="461"/>
      <c r="BB107" s="461"/>
      <c r="BC107" s="461"/>
      <c r="BD107" s="461"/>
      <c r="BE107" s="461"/>
      <c r="BF107" s="461"/>
      <c r="BG107" s="461"/>
      <c r="BH107" s="461"/>
      <c r="BI107" s="461"/>
      <c r="BJ107" s="461">
        <v>0.16564326319144321</v>
      </c>
      <c r="BK107" s="480"/>
      <c r="BL107" s="461"/>
      <c r="BM107" s="461"/>
      <c r="BN107" s="461"/>
      <c r="BO107" s="461"/>
      <c r="BP107" s="461"/>
      <c r="BQ107" s="461"/>
      <c r="BR107" s="461"/>
      <c r="BS107" s="461"/>
      <c r="BT107" s="461"/>
      <c r="BU107" s="461"/>
      <c r="BV107" s="461">
        <v>9.384402502348937E-4</v>
      </c>
      <c r="BW107" s="461"/>
      <c r="BX107" s="461"/>
      <c r="BY107" s="461"/>
      <c r="BZ107" s="461">
        <v>0.32540150431638737</v>
      </c>
      <c r="CA107" s="461"/>
      <c r="CB107" s="461"/>
      <c r="CC107" s="461"/>
      <c r="CD107" s="461"/>
      <c r="CE107" s="461"/>
      <c r="CF107" s="461"/>
      <c r="CG107" s="461"/>
      <c r="CH107" s="461"/>
      <c r="CI107" s="461"/>
      <c r="CJ107" s="461"/>
      <c r="CK107" s="461"/>
      <c r="CL107" s="461"/>
      <c r="CM107" s="461"/>
      <c r="CN107" s="461"/>
      <c r="CO107" s="461"/>
      <c r="CP107" s="461"/>
      <c r="CQ107" s="461"/>
      <c r="CR107" s="461"/>
      <c r="CS107" s="461"/>
      <c r="CT107" s="461"/>
      <c r="CU107" s="461"/>
      <c r="CV107" s="461"/>
      <c r="CW107" s="461"/>
      <c r="CX107" s="461"/>
      <c r="CY107" s="461"/>
      <c r="CZ107" s="461"/>
      <c r="DA107" s="461"/>
      <c r="DB107" s="461"/>
      <c r="DC107" s="461"/>
      <c r="DD107" s="461"/>
      <c r="DE107" s="461"/>
      <c r="DF107" s="461"/>
      <c r="DG107" s="461"/>
      <c r="DH107" s="461"/>
      <c r="DI107" s="461"/>
      <c r="DJ107" s="461"/>
      <c r="DK107" s="461"/>
      <c r="DL107" s="461"/>
      <c r="DM107" s="461"/>
      <c r="DN107" s="461"/>
      <c r="DO107" s="461"/>
      <c r="DP107" s="461"/>
      <c r="DQ107" s="461"/>
      <c r="DR107" s="461"/>
      <c r="DS107" s="461"/>
      <c r="DT107" s="461"/>
      <c r="DU107" s="461"/>
      <c r="DV107" s="461"/>
      <c r="DW107" s="461"/>
      <c r="DX107" s="461"/>
      <c r="DY107" s="461"/>
      <c r="DZ107" s="461"/>
      <c r="EA107" s="461"/>
      <c r="EB107" s="461"/>
      <c r="EC107" s="461"/>
      <c r="ED107" s="461"/>
      <c r="EE107" s="461"/>
      <c r="EF107" s="461"/>
      <c r="EG107" s="461"/>
      <c r="EH107" s="461"/>
      <c r="EI107" s="461"/>
      <c r="EJ107" s="461"/>
      <c r="EK107" s="461"/>
      <c r="EL107" s="461"/>
      <c r="EM107" s="461"/>
      <c r="EN107" s="461"/>
      <c r="EO107" s="461"/>
      <c r="EP107" s="461"/>
      <c r="EQ107" s="461"/>
      <c r="ER107" s="461"/>
      <c r="ES107" s="461"/>
      <c r="ET107" s="461"/>
      <c r="EU107" s="461"/>
      <c r="EV107" s="461"/>
      <c r="EW107" s="461"/>
      <c r="EX107" s="461"/>
      <c r="EY107" s="461"/>
      <c r="EZ107" s="461"/>
      <c r="FA107" s="461"/>
      <c r="FB107" s="461"/>
      <c r="FC107" s="461"/>
      <c r="FD107" s="461"/>
      <c r="FE107" s="461"/>
      <c r="FF107" s="461"/>
      <c r="FG107" s="461"/>
      <c r="FH107" s="461"/>
      <c r="FI107" s="461"/>
      <c r="FJ107" s="461"/>
      <c r="FK107" s="461"/>
      <c r="FL107" s="461"/>
      <c r="FM107" s="461"/>
      <c r="FN107" s="461"/>
      <c r="FO107" s="461"/>
      <c r="FP107" s="461">
        <v>0.684482982552304</v>
      </c>
      <c r="FQ107" s="461">
        <v>0.7889210474869458</v>
      </c>
      <c r="FR107" s="461">
        <v>0.89006722302086339</v>
      </c>
      <c r="FS107" s="461">
        <v>0.8847158425688465</v>
      </c>
      <c r="FT107" s="461">
        <v>0.94224894792395142</v>
      </c>
      <c r="FU107" s="461">
        <v>1.1497194797879642</v>
      </c>
      <c r="FV107" s="461">
        <v>1.0557981712732796</v>
      </c>
      <c r="FW107" s="461">
        <v>1.2430099964979213</v>
      </c>
      <c r="FX107" s="461">
        <v>1.7085321883031732</v>
      </c>
      <c r="FY107" s="461">
        <v>2.4050133785296541</v>
      </c>
      <c r="FZ107" s="461"/>
      <c r="GA107" s="461"/>
      <c r="GB107" s="461"/>
      <c r="GC107" s="461"/>
      <c r="GD107" s="469"/>
      <c r="GE107" s="469"/>
      <c r="GF107" s="469"/>
      <c r="GG107" s="469"/>
      <c r="GH107" s="469"/>
      <c r="GI107" s="469"/>
      <c r="GJ107" s="469">
        <v>-9.1361873354850312E-2</v>
      </c>
      <c r="GK107" s="469">
        <v>5.4585172215741657</v>
      </c>
      <c r="GL107" s="469">
        <v>33.936525322026426</v>
      </c>
      <c r="GM107" s="458"/>
      <c r="GN107" s="464"/>
      <c r="GO107" s="470"/>
      <c r="GP107" s="468"/>
    </row>
    <row r="108" spans="1:198" x14ac:dyDescent="0.25">
      <c r="A108" s="465" t="s">
        <v>2306</v>
      </c>
      <c r="B108" s="461"/>
      <c r="C108" s="461"/>
      <c r="D108" s="461"/>
      <c r="E108" s="461"/>
      <c r="F108" s="461"/>
      <c r="G108" s="461"/>
      <c r="H108" s="461"/>
      <c r="I108" s="461"/>
      <c r="J108" s="461"/>
      <c r="K108" s="461"/>
      <c r="L108" s="461"/>
      <c r="M108" s="461"/>
      <c r="N108" s="461"/>
      <c r="O108" s="461"/>
      <c r="P108" s="461"/>
      <c r="Q108" s="461"/>
      <c r="R108" s="461"/>
      <c r="S108" s="461"/>
      <c r="T108" s="461"/>
      <c r="U108" s="461"/>
      <c r="V108" s="461">
        <v>0.32792656864196096</v>
      </c>
      <c r="W108" s="461"/>
      <c r="X108" s="461">
        <v>10.525486574349115</v>
      </c>
      <c r="Y108" s="461"/>
      <c r="Z108" s="461">
        <v>1.2215274581985041</v>
      </c>
      <c r="AA108" s="461"/>
      <c r="AB108" s="461"/>
      <c r="AC108" s="461"/>
      <c r="AD108" s="461">
        <v>2.3697309636039381</v>
      </c>
      <c r="AE108" s="461"/>
      <c r="AF108" s="461">
        <v>1.7532101476083296E-2</v>
      </c>
      <c r="AG108" s="461"/>
      <c r="AH108" s="461">
        <v>0.19466381484172648</v>
      </c>
      <c r="AI108" s="461">
        <v>4.1697426092573728</v>
      </c>
      <c r="AJ108" s="461"/>
      <c r="AK108" s="461"/>
      <c r="AL108" s="461">
        <v>5.3394362428664435E-4</v>
      </c>
      <c r="AM108" s="461"/>
      <c r="AN108" s="461"/>
      <c r="AO108" s="461"/>
      <c r="AP108" s="461"/>
      <c r="AQ108" s="461"/>
      <c r="AR108" s="461"/>
      <c r="AS108" s="461"/>
      <c r="AT108" s="461"/>
      <c r="AU108" s="461">
        <v>5.6514405316753034E-3</v>
      </c>
      <c r="AV108" s="461"/>
      <c r="AW108" s="461"/>
      <c r="AX108" s="461"/>
      <c r="AY108" s="461"/>
      <c r="AZ108" s="461"/>
      <c r="BA108" s="461"/>
      <c r="BB108" s="461"/>
      <c r="BC108" s="461"/>
      <c r="BD108" s="461"/>
      <c r="BE108" s="461"/>
      <c r="BF108" s="461"/>
      <c r="BG108" s="461"/>
      <c r="BH108" s="461"/>
      <c r="BI108" s="461"/>
      <c r="BJ108" s="461">
        <v>0.2559595146258859</v>
      </c>
      <c r="BK108" s="480">
        <v>3.012734845080008E-2</v>
      </c>
      <c r="BL108" s="461"/>
      <c r="BM108" s="461"/>
      <c r="BN108" s="461"/>
      <c r="BO108" s="461">
        <v>0.10853267469208824</v>
      </c>
      <c r="BP108" s="461">
        <v>1.5315878298011224E-3</v>
      </c>
      <c r="BQ108" s="461">
        <v>5.1217247076406859E-3</v>
      </c>
      <c r="BR108" s="461">
        <v>9.2789457124781475E-4</v>
      </c>
      <c r="BS108" s="461">
        <v>8.5485560692925703E-4</v>
      </c>
      <c r="BT108" s="461"/>
      <c r="BU108" s="461">
        <v>2.2160830028958856E-3</v>
      </c>
      <c r="BV108" s="461">
        <v>3.085196244800378E-3</v>
      </c>
      <c r="BW108" s="461"/>
      <c r="BX108" s="461"/>
      <c r="BY108" s="461">
        <v>0.3797344542512005</v>
      </c>
      <c r="BZ108" s="461">
        <v>0.81139583339715304</v>
      </c>
      <c r="CA108" s="461"/>
      <c r="CB108" s="461"/>
      <c r="CC108" s="461"/>
      <c r="CD108" s="461"/>
      <c r="CE108" s="461"/>
      <c r="CF108" s="461"/>
      <c r="CG108" s="461"/>
      <c r="CH108" s="461"/>
      <c r="CI108" s="461"/>
      <c r="CJ108" s="461"/>
      <c r="CK108" s="461"/>
      <c r="CL108" s="461"/>
      <c r="CM108" s="461"/>
      <c r="CN108" s="461"/>
      <c r="CO108" s="461"/>
      <c r="CP108" s="461"/>
      <c r="CQ108" s="461"/>
      <c r="CR108" s="461"/>
      <c r="CS108" s="461"/>
      <c r="CT108" s="461"/>
      <c r="CU108" s="461"/>
      <c r="CV108" s="461"/>
      <c r="CW108" s="461"/>
      <c r="CX108" s="461"/>
      <c r="CY108" s="461"/>
      <c r="CZ108" s="461"/>
      <c r="DA108" s="461"/>
      <c r="DB108" s="461"/>
      <c r="DC108" s="461"/>
      <c r="DD108" s="461"/>
      <c r="DE108" s="461"/>
      <c r="DF108" s="461"/>
      <c r="DG108" s="461"/>
      <c r="DH108" s="461"/>
      <c r="DI108" s="461"/>
      <c r="DJ108" s="461"/>
      <c r="DK108" s="461"/>
      <c r="DL108" s="461"/>
      <c r="DM108" s="461"/>
      <c r="DN108" s="461"/>
      <c r="DO108" s="461"/>
      <c r="DP108" s="461"/>
      <c r="DQ108" s="461"/>
      <c r="DR108" s="461"/>
      <c r="DS108" s="461"/>
      <c r="DT108" s="461"/>
      <c r="DU108" s="461"/>
      <c r="DV108" s="461"/>
      <c r="DW108" s="461"/>
      <c r="DX108" s="461"/>
      <c r="DY108" s="461"/>
      <c r="DZ108" s="461"/>
      <c r="EA108" s="461"/>
      <c r="EB108" s="461"/>
      <c r="EC108" s="461"/>
      <c r="ED108" s="461"/>
      <c r="EE108" s="461"/>
      <c r="EF108" s="461"/>
      <c r="EG108" s="461"/>
      <c r="EH108" s="461"/>
      <c r="EI108" s="461"/>
      <c r="EJ108" s="461"/>
      <c r="EK108" s="461"/>
      <c r="EL108" s="461"/>
      <c r="EM108" s="461"/>
      <c r="EN108" s="461"/>
      <c r="EO108" s="461"/>
      <c r="EP108" s="461"/>
      <c r="EQ108" s="461"/>
      <c r="ER108" s="461"/>
      <c r="ES108" s="461"/>
      <c r="ET108" s="461"/>
      <c r="EU108" s="461"/>
      <c r="EV108" s="461"/>
      <c r="EW108" s="461"/>
      <c r="EX108" s="461"/>
      <c r="EY108" s="461"/>
      <c r="EZ108" s="461"/>
      <c r="FA108" s="461"/>
      <c r="FB108" s="461"/>
      <c r="FC108" s="461"/>
      <c r="FD108" s="461"/>
      <c r="FE108" s="461"/>
      <c r="FF108" s="461"/>
      <c r="FG108" s="461"/>
      <c r="FH108" s="461"/>
      <c r="FI108" s="461"/>
      <c r="FJ108" s="461"/>
      <c r="FK108" s="461"/>
      <c r="FL108" s="461"/>
      <c r="FM108" s="461"/>
      <c r="FN108" s="461"/>
      <c r="FO108" s="461"/>
      <c r="FP108" s="461">
        <v>1.2809772584300756</v>
      </c>
      <c r="FQ108" s="461">
        <v>1.6339355306279899</v>
      </c>
      <c r="FR108" s="461">
        <v>1.7681854266025541</v>
      </c>
      <c r="FS108" s="461">
        <v>1.8923744859454483</v>
      </c>
      <c r="FT108" s="461">
        <v>1.9442369982636893</v>
      </c>
      <c r="FU108" s="461">
        <v>2.1646841040383005</v>
      </c>
      <c r="FV108" s="461">
        <v>2.1800455507020584</v>
      </c>
      <c r="FW108" s="461">
        <v>2.9818251458356495</v>
      </c>
      <c r="FX108" s="461">
        <v>3.8785802937488976</v>
      </c>
      <c r="FY108" s="461">
        <v>6.538711648853706</v>
      </c>
      <c r="FZ108" s="461"/>
      <c r="GA108" s="461"/>
      <c r="GB108" s="461"/>
      <c r="GC108" s="461"/>
      <c r="GD108" s="469"/>
      <c r="GE108" s="469"/>
      <c r="GF108" s="469"/>
      <c r="GG108" s="469"/>
      <c r="GH108" s="469"/>
      <c r="GI108" s="469"/>
      <c r="GJ108" s="469">
        <v>0.87980098081662073</v>
      </c>
      <c r="GK108" s="469">
        <v>9.2889154007295307</v>
      </c>
      <c r="GL108" s="469">
        <v>56.864555466499631</v>
      </c>
      <c r="GM108" s="458"/>
      <c r="GN108" s="464"/>
      <c r="GO108" s="470"/>
      <c r="GP108" s="468"/>
    </row>
    <row r="109" spans="1:198" x14ac:dyDescent="0.25">
      <c r="A109" s="465" t="s">
        <v>2307</v>
      </c>
      <c r="B109" s="461"/>
      <c r="C109" s="461"/>
      <c r="D109" s="461"/>
      <c r="E109" s="461"/>
      <c r="F109" s="461"/>
      <c r="G109" s="461"/>
      <c r="H109" s="461"/>
      <c r="I109" s="461"/>
      <c r="J109" s="461"/>
      <c r="K109" s="461"/>
      <c r="L109" s="461"/>
      <c r="M109" s="461"/>
      <c r="N109" s="461"/>
      <c r="O109" s="461"/>
      <c r="P109" s="461"/>
      <c r="Q109" s="461"/>
      <c r="R109" s="461"/>
      <c r="S109" s="461"/>
      <c r="T109" s="461"/>
      <c r="U109" s="461"/>
      <c r="V109" s="461">
        <v>4.8309070061408228E-2</v>
      </c>
      <c r="W109" s="461">
        <v>8.1222814298661489E-2</v>
      </c>
      <c r="X109" s="461">
        <v>7.4215778381405473E-2</v>
      </c>
      <c r="Y109" s="461">
        <v>4.3746510808380634</v>
      </c>
      <c r="Z109" s="461">
        <v>1.3737172554370949E-2</v>
      </c>
      <c r="AA109" s="461">
        <v>6.4473235725076836E-2</v>
      </c>
      <c r="AB109" s="461"/>
      <c r="AC109" s="461">
        <v>5.5195937585383839E-2</v>
      </c>
      <c r="AD109" s="461">
        <v>2.7597112763710938</v>
      </c>
      <c r="AE109" s="461">
        <v>6.0652529503437878E-2</v>
      </c>
      <c r="AF109" s="461">
        <v>0.18085000867663578</v>
      </c>
      <c r="AG109" s="461"/>
      <c r="AH109" s="461">
        <v>2.29966171090821</v>
      </c>
      <c r="AI109" s="461"/>
      <c r="AJ109" s="461">
        <v>2.281318872308467E-2</v>
      </c>
      <c r="AK109" s="461"/>
      <c r="AL109" s="461"/>
      <c r="AM109" s="461"/>
      <c r="AN109" s="461"/>
      <c r="AO109" s="461"/>
      <c r="AP109" s="461"/>
      <c r="AQ109" s="461"/>
      <c r="AR109" s="461">
        <v>2.5936786426541776E-3</v>
      </c>
      <c r="AS109" s="461">
        <v>5.3340932162549481E-2</v>
      </c>
      <c r="AT109" s="461">
        <v>0.48006838946294544</v>
      </c>
      <c r="AU109" s="461">
        <v>2.7775509644564984</v>
      </c>
      <c r="AV109" s="461"/>
      <c r="AW109" s="461"/>
      <c r="AX109" s="461"/>
      <c r="AY109" s="461"/>
      <c r="AZ109" s="461"/>
      <c r="BA109" s="461"/>
      <c r="BB109" s="461"/>
      <c r="BC109" s="461"/>
      <c r="BD109" s="461"/>
      <c r="BE109" s="461"/>
      <c r="BF109" s="461"/>
      <c r="BG109" s="461"/>
      <c r="BH109" s="461"/>
      <c r="BI109" s="461"/>
      <c r="BJ109" s="461">
        <v>5.0727184254835037E-2</v>
      </c>
      <c r="BK109" s="480"/>
      <c r="BL109" s="461"/>
      <c r="BM109" s="461"/>
      <c r="BN109" s="461"/>
      <c r="BO109" s="461">
        <v>0.15626563452668157</v>
      </c>
      <c r="BP109" s="461"/>
      <c r="BQ109" s="461"/>
      <c r="BR109" s="461"/>
      <c r="BS109" s="461"/>
      <c r="BT109" s="461"/>
      <c r="BU109" s="461"/>
      <c r="BV109" s="461">
        <v>1.8598287996754207E-3</v>
      </c>
      <c r="BW109" s="461"/>
      <c r="BX109" s="461"/>
      <c r="BY109" s="461">
        <v>0.1625916884652745</v>
      </c>
      <c r="BZ109" s="461">
        <v>0.39036384577855032</v>
      </c>
      <c r="CA109" s="461"/>
      <c r="CB109" s="461"/>
      <c r="CC109" s="461"/>
      <c r="CD109" s="461"/>
      <c r="CE109" s="461"/>
      <c r="CF109" s="461"/>
      <c r="CG109" s="461"/>
      <c r="CH109" s="461"/>
      <c r="CI109" s="461"/>
      <c r="CJ109" s="461"/>
      <c r="CK109" s="461"/>
      <c r="CL109" s="461"/>
      <c r="CM109" s="461"/>
      <c r="CN109" s="461"/>
      <c r="CO109" s="461"/>
      <c r="CP109" s="461"/>
      <c r="CQ109" s="461"/>
      <c r="CR109" s="461"/>
      <c r="CS109" s="461"/>
      <c r="CT109" s="461"/>
      <c r="CU109" s="461"/>
      <c r="CV109" s="461"/>
      <c r="CW109" s="461"/>
      <c r="CX109" s="461"/>
      <c r="CY109" s="461"/>
      <c r="CZ109" s="461"/>
      <c r="DA109" s="461"/>
      <c r="DB109" s="461"/>
      <c r="DC109" s="461"/>
      <c r="DD109" s="461"/>
      <c r="DE109" s="461"/>
      <c r="DF109" s="461"/>
      <c r="DG109" s="461"/>
      <c r="DH109" s="461"/>
      <c r="DI109" s="461"/>
      <c r="DJ109" s="461"/>
      <c r="DK109" s="461"/>
      <c r="DL109" s="461"/>
      <c r="DM109" s="461"/>
      <c r="DN109" s="461"/>
      <c r="DO109" s="461"/>
      <c r="DP109" s="461"/>
      <c r="DQ109" s="461"/>
      <c r="DR109" s="461"/>
      <c r="DS109" s="461"/>
      <c r="DT109" s="461"/>
      <c r="DU109" s="461"/>
      <c r="DV109" s="461"/>
      <c r="DW109" s="461"/>
      <c r="DX109" s="461"/>
      <c r="DY109" s="461"/>
      <c r="DZ109" s="461"/>
      <c r="EA109" s="461"/>
      <c r="EB109" s="461"/>
      <c r="EC109" s="461"/>
      <c r="ED109" s="461"/>
      <c r="EE109" s="461"/>
      <c r="EF109" s="461"/>
      <c r="EG109" s="461"/>
      <c r="EH109" s="461"/>
      <c r="EI109" s="461"/>
      <c r="EJ109" s="461"/>
      <c r="EK109" s="461"/>
      <c r="EL109" s="461"/>
      <c r="EM109" s="461"/>
      <c r="EN109" s="461"/>
      <c r="EO109" s="461"/>
      <c r="EP109" s="461"/>
      <c r="EQ109" s="461"/>
      <c r="ER109" s="461"/>
      <c r="ES109" s="461"/>
      <c r="ET109" s="461"/>
      <c r="EU109" s="461"/>
      <c r="EV109" s="461"/>
      <c r="EW109" s="461"/>
      <c r="EX109" s="461"/>
      <c r="EY109" s="461"/>
      <c r="EZ109" s="461"/>
      <c r="FA109" s="461"/>
      <c r="FB109" s="461"/>
      <c r="FC109" s="461"/>
      <c r="FD109" s="461"/>
      <c r="FE109" s="461"/>
      <c r="FF109" s="461"/>
      <c r="FG109" s="461"/>
      <c r="FH109" s="461"/>
      <c r="FI109" s="461"/>
      <c r="FJ109" s="461"/>
      <c r="FK109" s="461"/>
      <c r="FL109" s="461"/>
      <c r="FM109" s="461"/>
      <c r="FN109" s="461"/>
      <c r="FO109" s="461"/>
      <c r="FP109" s="461">
        <v>1.3684263200156246</v>
      </c>
      <c r="FQ109" s="461">
        <v>1.6671155997510871</v>
      </c>
      <c r="FR109" s="461">
        <v>1.6950689305406512</v>
      </c>
      <c r="FS109" s="461">
        <v>1.8482703683658779</v>
      </c>
      <c r="FT109" s="461">
        <v>1.7870085078812212</v>
      </c>
      <c r="FU109" s="461">
        <v>1.7467247445731855</v>
      </c>
      <c r="FV109" s="461">
        <v>1.7734804734014957</v>
      </c>
      <c r="FW109" s="461">
        <v>1.9256024923482944</v>
      </c>
      <c r="FX109" s="461">
        <v>2.5269010945844936</v>
      </c>
      <c r="FY109" s="461">
        <v>2.086281933063415</v>
      </c>
      <c r="FZ109" s="461"/>
      <c r="GA109" s="461"/>
      <c r="GB109" s="461"/>
      <c r="GC109" s="461"/>
      <c r="GD109" s="469"/>
      <c r="GE109" s="469"/>
      <c r="GF109" s="469"/>
      <c r="GG109" s="469"/>
      <c r="GH109" s="469"/>
      <c r="GI109" s="469"/>
      <c r="GJ109" s="469">
        <v>-0.12050925254016578</v>
      </c>
      <c r="GK109" s="469">
        <v>5.6561300116538318</v>
      </c>
      <c r="GL109" s="469">
        <v>38.071357173815507</v>
      </c>
      <c r="GM109" s="458"/>
      <c r="GN109" s="464"/>
      <c r="GO109" s="470"/>
      <c r="GP109" s="468"/>
    </row>
    <row r="110" spans="1:198" x14ac:dyDescent="0.25">
      <c r="A110" s="465" t="s">
        <v>2308</v>
      </c>
      <c r="B110" s="461"/>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v>1.4605500255889157</v>
      </c>
      <c r="Y110" s="461"/>
      <c r="Z110" s="461">
        <v>4.2981784469684117</v>
      </c>
      <c r="AA110" s="461">
        <v>2.5075907477526273E-2</v>
      </c>
      <c r="AB110" s="461"/>
      <c r="AC110" s="461"/>
      <c r="AD110" s="461">
        <v>3.1148204180257197</v>
      </c>
      <c r="AE110" s="461">
        <v>0.11172948637250064</v>
      </c>
      <c r="AF110" s="461">
        <v>1.1411238828638948</v>
      </c>
      <c r="AG110" s="461"/>
      <c r="AH110" s="461">
        <v>1.3588652033876709</v>
      </c>
      <c r="AI110" s="461">
        <v>2.5569594808540496E-2</v>
      </c>
      <c r="AJ110" s="461"/>
      <c r="AK110" s="461"/>
      <c r="AL110" s="461"/>
      <c r="AM110" s="461"/>
      <c r="AN110" s="461"/>
      <c r="AO110" s="461"/>
      <c r="AP110" s="461"/>
      <c r="AQ110" s="461"/>
      <c r="AR110" s="461"/>
      <c r="AS110" s="461"/>
      <c r="AT110" s="461"/>
      <c r="AU110" s="461">
        <v>0.24762624877855574</v>
      </c>
      <c r="AV110" s="461"/>
      <c r="AW110" s="461"/>
      <c r="AX110" s="461"/>
      <c r="AY110" s="461"/>
      <c r="AZ110" s="461"/>
      <c r="BA110" s="461"/>
      <c r="BB110" s="461"/>
      <c r="BC110" s="461"/>
      <c r="BD110" s="461"/>
      <c r="BE110" s="461"/>
      <c r="BF110" s="461"/>
      <c r="BG110" s="461"/>
      <c r="BH110" s="461"/>
      <c r="BI110" s="461"/>
      <c r="BJ110" s="461">
        <v>4.3368940565333448E-3</v>
      </c>
      <c r="BK110" s="480">
        <v>1.2640778871387714E-2</v>
      </c>
      <c r="BL110" s="461"/>
      <c r="BM110" s="461"/>
      <c r="BN110" s="461">
        <v>0.34900241401977239</v>
      </c>
      <c r="BO110" s="461">
        <v>0.56835281344658084</v>
      </c>
      <c r="BP110" s="461">
        <v>1.6348773012236455E-3</v>
      </c>
      <c r="BQ110" s="461">
        <v>5.467134445767228E-3</v>
      </c>
      <c r="BR110" s="461">
        <v>9.9044278698508475E-4</v>
      </c>
      <c r="BS110" s="461">
        <v>9.1248026838814473E-4</v>
      </c>
      <c r="BT110" s="461"/>
      <c r="BU110" s="461">
        <v>2.365479074864479E-3</v>
      </c>
      <c r="BV110" s="461">
        <v>2.5433656824555067E-3</v>
      </c>
      <c r="BW110" s="461"/>
      <c r="BX110" s="461">
        <v>0.18302965455453041</v>
      </c>
      <c r="BY110" s="461">
        <v>0.13008914141395439</v>
      </c>
      <c r="BZ110" s="461">
        <v>0.34799647195606687</v>
      </c>
      <c r="CA110" s="461"/>
      <c r="CB110" s="461"/>
      <c r="CC110" s="461"/>
      <c r="CD110" s="461"/>
      <c r="CE110" s="461"/>
      <c r="CF110" s="461"/>
      <c r="CG110" s="461"/>
      <c r="CH110" s="461"/>
      <c r="CI110" s="461"/>
      <c r="CJ110" s="461"/>
      <c r="CK110" s="461"/>
      <c r="CL110" s="461"/>
      <c r="CM110" s="461"/>
      <c r="CN110" s="461"/>
      <c r="CO110" s="461"/>
      <c r="CP110" s="461"/>
      <c r="CQ110" s="461"/>
      <c r="CR110" s="461"/>
      <c r="CS110" s="461"/>
      <c r="CT110" s="461"/>
      <c r="CU110" s="461"/>
      <c r="CV110" s="461"/>
      <c r="CW110" s="461"/>
      <c r="CX110" s="461"/>
      <c r="CY110" s="461"/>
      <c r="CZ110" s="461"/>
      <c r="DA110" s="461"/>
      <c r="DB110" s="461"/>
      <c r="DC110" s="461"/>
      <c r="DD110" s="461"/>
      <c r="DE110" s="461"/>
      <c r="DF110" s="461"/>
      <c r="DG110" s="461"/>
      <c r="DH110" s="461"/>
      <c r="DI110" s="461"/>
      <c r="DJ110" s="461"/>
      <c r="DK110" s="461"/>
      <c r="DL110" s="461"/>
      <c r="DM110" s="461"/>
      <c r="DN110" s="461"/>
      <c r="DO110" s="461"/>
      <c r="DP110" s="461"/>
      <c r="DQ110" s="461"/>
      <c r="DR110" s="461"/>
      <c r="DS110" s="461"/>
      <c r="DT110" s="461"/>
      <c r="DU110" s="461"/>
      <c r="DV110" s="461"/>
      <c r="DW110" s="461"/>
      <c r="DX110" s="461"/>
      <c r="DY110" s="461"/>
      <c r="DZ110" s="461"/>
      <c r="EA110" s="461"/>
      <c r="EB110" s="461"/>
      <c r="EC110" s="461"/>
      <c r="ED110" s="461"/>
      <c r="EE110" s="461"/>
      <c r="EF110" s="461"/>
      <c r="EG110" s="461"/>
      <c r="EH110" s="461"/>
      <c r="EI110" s="461"/>
      <c r="EJ110" s="461"/>
      <c r="EK110" s="461"/>
      <c r="EL110" s="461"/>
      <c r="EM110" s="461"/>
      <c r="EN110" s="461"/>
      <c r="EO110" s="461"/>
      <c r="EP110" s="461"/>
      <c r="EQ110" s="461"/>
      <c r="ER110" s="461"/>
      <c r="ES110" s="461"/>
      <c r="ET110" s="461"/>
      <c r="EU110" s="461"/>
      <c r="EV110" s="461"/>
      <c r="EW110" s="461"/>
      <c r="EX110" s="461"/>
      <c r="EY110" s="461"/>
      <c r="EZ110" s="461"/>
      <c r="FA110" s="461"/>
      <c r="FB110" s="461"/>
      <c r="FC110" s="461"/>
      <c r="FD110" s="461"/>
      <c r="FE110" s="461"/>
      <c r="FF110" s="461"/>
      <c r="FG110" s="461"/>
      <c r="FH110" s="461"/>
      <c r="FI110" s="461"/>
      <c r="FJ110" s="461"/>
      <c r="FK110" s="461"/>
      <c r="FL110" s="461"/>
      <c r="FM110" s="461"/>
      <c r="FN110" s="461"/>
      <c r="FO110" s="461"/>
      <c r="FP110" s="461">
        <v>1.8887508705320051</v>
      </c>
      <c r="FQ110" s="461">
        <v>2.5564373799698443</v>
      </c>
      <c r="FR110" s="461">
        <v>3.1365855208852103</v>
      </c>
      <c r="FS110" s="461">
        <v>3.3661472550967577</v>
      </c>
      <c r="FT110" s="461">
        <v>3.5648485296504369</v>
      </c>
      <c r="FU110" s="461">
        <v>4.1075309787993568</v>
      </c>
      <c r="FV110" s="461">
        <v>4.31150244455986</v>
      </c>
      <c r="FW110" s="461">
        <v>5.6165041903666593</v>
      </c>
      <c r="FX110" s="461">
        <v>7.1368847381621032</v>
      </c>
      <c r="FY110" s="461">
        <v>9.9591186634562909</v>
      </c>
      <c r="FZ110" s="461"/>
      <c r="GA110" s="461"/>
      <c r="GB110" s="461"/>
      <c r="GC110" s="461"/>
      <c r="GD110" s="469"/>
      <c r="GE110" s="469"/>
      <c r="GF110" s="469"/>
      <c r="GG110" s="469"/>
      <c r="GH110" s="469"/>
      <c r="GI110" s="469"/>
      <c r="GJ110" s="469">
        <v>2.9899867290044058</v>
      </c>
      <c r="GK110" s="469">
        <v>6.2479797980796921</v>
      </c>
      <c r="GL110" s="469">
        <v>68.275178260712877</v>
      </c>
      <c r="GM110" s="458"/>
      <c r="GN110" s="464"/>
      <c r="GO110" s="470"/>
      <c r="GP110" s="468"/>
    </row>
    <row r="111" spans="1:198" x14ac:dyDescent="0.25">
      <c r="A111" s="465" t="s">
        <v>2309</v>
      </c>
      <c r="B111" s="461"/>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v>5.1355080712923483E-3</v>
      </c>
      <c r="Y111" s="461"/>
      <c r="Z111" s="461">
        <v>7.3144396858084663E-3</v>
      </c>
      <c r="AA111" s="461">
        <v>5.9337390555162753E-2</v>
      </c>
      <c r="AB111" s="461"/>
      <c r="AC111" s="461">
        <v>0.36647818144945549</v>
      </c>
      <c r="AD111" s="461">
        <v>8.5563973102960098</v>
      </c>
      <c r="AE111" s="461">
        <v>1.0487735007021865E-2</v>
      </c>
      <c r="AF111" s="461">
        <v>4.8309406011824166E-2</v>
      </c>
      <c r="AG111" s="461">
        <v>0.19900396479999996</v>
      </c>
      <c r="AH111" s="461">
        <v>0.34179002449113599</v>
      </c>
      <c r="AI111" s="461">
        <v>1.9885079927385856E-2</v>
      </c>
      <c r="AJ111" s="461"/>
      <c r="AK111" s="461"/>
      <c r="AL111" s="461"/>
      <c r="AM111" s="461"/>
      <c r="AN111" s="461"/>
      <c r="AO111" s="461"/>
      <c r="AP111" s="461"/>
      <c r="AQ111" s="461"/>
      <c r="AR111" s="461"/>
      <c r="AS111" s="461"/>
      <c r="AT111" s="461"/>
      <c r="AU111" s="461"/>
      <c r="AV111" s="461"/>
      <c r="AW111" s="461"/>
      <c r="AX111" s="461"/>
      <c r="AY111" s="461"/>
      <c r="AZ111" s="461"/>
      <c r="BA111" s="461"/>
      <c r="BB111" s="461"/>
      <c r="BC111" s="461"/>
      <c r="BD111" s="461"/>
      <c r="BE111" s="461"/>
      <c r="BF111" s="461"/>
      <c r="BG111" s="461"/>
      <c r="BH111" s="461"/>
      <c r="BI111" s="461"/>
      <c r="BJ111" s="461">
        <v>0.15767858499706275</v>
      </c>
      <c r="BK111" s="480">
        <v>5.1302711142487637E-3</v>
      </c>
      <c r="BL111" s="461"/>
      <c r="BM111" s="461"/>
      <c r="BN111" s="461"/>
      <c r="BO111" s="461">
        <v>4.9434467363303272E-2</v>
      </c>
      <c r="BP111" s="461">
        <v>3.1943245852186558E-4</v>
      </c>
      <c r="BQ111" s="461">
        <v>1.0681964866077558E-3</v>
      </c>
      <c r="BR111" s="461">
        <v>1.9351943784951393E-4</v>
      </c>
      <c r="BS111" s="461">
        <v>1.782868051196789E-4</v>
      </c>
      <c r="BT111" s="461"/>
      <c r="BU111" s="461">
        <v>4.6217087932752933E-4</v>
      </c>
      <c r="BV111" s="461">
        <v>6.2882280443924928E-4</v>
      </c>
      <c r="BW111" s="461"/>
      <c r="BX111" s="461">
        <v>9.5524373896418477E-2</v>
      </c>
      <c r="BY111" s="461">
        <v>4.9285577612336838E-2</v>
      </c>
      <c r="BZ111" s="461">
        <v>0.37638147754117612</v>
      </c>
      <c r="CA111" s="461"/>
      <c r="CB111" s="461"/>
      <c r="CC111" s="461"/>
      <c r="CD111" s="461"/>
      <c r="CE111" s="461"/>
      <c r="CF111" s="461"/>
      <c r="CG111" s="461"/>
      <c r="CH111" s="461"/>
      <c r="CI111" s="461"/>
      <c r="CJ111" s="461"/>
      <c r="CK111" s="461"/>
      <c r="CL111" s="461"/>
      <c r="CM111" s="461"/>
      <c r="CN111" s="461"/>
      <c r="CO111" s="461"/>
      <c r="CP111" s="461"/>
      <c r="CQ111" s="461"/>
      <c r="CR111" s="461"/>
      <c r="CS111" s="461"/>
      <c r="CT111" s="461"/>
      <c r="CU111" s="461"/>
      <c r="CV111" s="461"/>
      <c r="CW111" s="461"/>
      <c r="CX111" s="461"/>
      <c r="CY111" s="461"/>
      <c r="CZ111" s="461"/>
      <c r="DA111" s="461"/>
      <c r="DB111" s="461"/>
      <c r="DC111" s="461"/>
      <c r="DD111" s="461"/>
      <c r="DE111" s="461"/>
      <c r="DF111" s="461"/>
      <c r="DG111" s="461"/>
      <c r="DH111" s="461"/>
      <c r="DI111" s="461"/>
      <c r="DJ111" s="461"/>
      <c r="DK111" s="461"/>
      <c r="DL111" s="461"/>
      <c r="DM111" s="461"/>
      <c r="DN111" s="461"/>
      <c r="DO111" s="461"/>
      <c r="DP111" s="461"/>
      <c r="DQ111" s="461"/>
      <c r="DR111" s="461"/>
      <c r="DS111" s="461"/>
      <c r="DT111" s="461"/>
      <c r="DU111" s="461"/>
      <c r="DV111" s="461"/>
      <c r="DW111" s="461"/>
      <c r="DX111" s="461"/>
      <c r="DY111" s="461"/>
      <c r="DZ111" s="461"/>
      <c r="EA111" s="461"/>
      <c r="EB111" s="461"/>
      <c r="EC111" s="461"/>
      <c r="ED111" s="461"/>
      <c r="EE111" s="461"/>
      <c r="EF111" s="461"/>
      <c r="EG111" s="461"/>
      <c r="EH111" s="461"/>
      <c r="EI111" s="461"/>
      <c r="EJ111" s="461"/>
      <c r="EK111" s="461"/>
      <c r="EL111" s="461"/>
      <c r="EM111" s="461"/>
      <c r="EN111" s="461"/>
      <c r="EO111" s="461"/>
      <c r="EP111" s="461"/>
      <c r="EQ111" s="461"/>
      <c r="ER111" s="461"/>
      <c r="ES111" s="461"/>
      <c r="ET111" s="461"/>
      <c r="EU111" s="461"/>
      <c r="EV111" s="461"/>
      <c r="EW111" s="461"/>
      <c r="EX111" s="461"/>
      <c r="EY111" s="461"/>
      <c r="EZ111" s="461"/>
      <c r="FA111" s="461"/>
      <c r="FB111" s="461"/>
      <c r="FC111" s="461"/>
      <c r="FD111" s="461"/>
      <c r="FE111" s="461"/>
      <c r="FF111" s="461"/>
      <c r="FG111" s="461"/>
      <c r="FH111" s="461"/>
      <c r="FI111" s="461"/>
      <c r="FJ111" s="461"/>
      <c r="FK111" s="461"/>
      <c r="FL111" s="461"/>
      <c r="FM111" s="461"/>
      <c r="FN111" s="461"/>
      <c r="FO111" s="461"/>
      <c r="FP111" s="461">
        <v>5.7824054226763622</v>
      </c>
      <c r="FQ111" s="461">
        <v>6.5749909368371977</v>
      </c>
      <c r="FR111" s="461">
        <v>5.9943500876876259</v>
      </c>
      <c r="FS111" s="461">
        <v>5.400592829017711</v>
      </c>
      <c r="FT111" s="461">
        <v>4.7982133995335445</v>
      </c>
      <c r="FU111" s="461">
        <v>4.2831838620235629</v>
      </c>
      <c r="FV111" s="461">
        <v>3.741519061399047</v>
      </c>
      <c r="FW111" s="461">
        <v>3.7136483885639762</v>
      </c>
      <c r="FX111" s="461">
        <v>3.4048296268347462</v>
      </c>
      <c r="FY111" s="461">
        <v>3.0387376746242873</v>
      </c>
      <c r="FZ111" s="461"/>
      <c r="GA111" s="461"/>
      <c r="GB111" s="461"/>
      <c r="GC111" s="461"/>
      <c r="GD111" s="469"/>
      <c r="GE111" s="469"/>
      <c r="GF111" s="469"/>
      <c r="GG111" s="469"/>
      <c r="GH111" s="469"/>
      <c r="GI111" s="469"/>
      <c r="GJ111" s="469">
        <v>-0.13202978487104119</v>
      </c>
      <c r="GK111" s="469">
        <v>5.0862113079654607</v>
      </c>
      <c r="GL111" s="469">
        <v>62.037077033983984</v>
      </c>
      <c r="GM111" s="458"/>
      <c r="GN111" s="464"/>
      <c r="GO111" s="470"/>
      <c r="GP111" s="468"/>
    </row>
    <row r="112" spans="1:198" x14ac:dyDescent="0.25">
      <c r="A112" s="465" t="s">
        <v>2310</v>
      </c>
      <c r="B112" s="461"/>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v>3.1822902373759641E-2</v>
      </c>
      <c r="Y112" s="461"/>
      <c r="Z112" s="461"/>
      <c r="AA112" s="461"/>
      <c r="AB112" s="461"/>
      <c r="AC112" s="461"/>
      <c r="AD112" s="461">
        <v>0.27056038225234924</v>
      </c>
      <c r="AE112" s="461">
        <v>2.1700304150163552E-2</v>
      </c>
      <c r="AF112" s="461">
        <v>7.1746235230861377E-2</v>
      </c>
      <c r="AG112" s="461"/>
      <c r="AH112" s="461">
        <v>0.16731747291081167</v>
      </c>
      <c r="AI112" s="461">
        <v>5.6911623388640531E-2</v>
      </c>
      <c r="AJ112" s="461">
        <v>1.0934097032510755E-2</v>
      </c>
      <c r="AK112" s="461"/>
      <c r="AL112" s="461"/>
      <c r="AM112" s="461"/>
      <c r="AN112" s="461">
        <v>1.5693672956192575E-3</v>
      </c>
      <c r="AO112" s="461">
        <v>0.2757560273703355</v>
      </c>
      <c r="AP112" s="461"/>
      <c r="AQ112" s="461"/>
      <c r="AR112" s="461">
        <v>9.5298755986123333E-5</v>
      </c>
      <c r="AS112" s="461">
        <v>1.9598898624654851E-3</v>
      </c>
      <c r="AT112" s="461">
        <v>1.7639008762189368E-2</v>
      </c>
      <c r="AU112" s="461">
        <v>0.29605390235727103</v>
      </c>
      <c r="AV112" s="461"/>
      <c r="AW112" s="461"/>
      <c r="AX112" s="461"/>
      <c r="AY112" s="461"/>
      <c r="AZ112" s="461"/>
      <c r="BA112" s="461"/>
      <c r="BB112" s="461"/>
      <c r="BC112" s="461"/>
      <c r="BD112" s="461"/>
      <c r="BE112" s="461"/>
      <c r="BF112" s="461"/>
      <c r="BG112" s="461"/>
      <c r="BH112" s="461"/>
      <c r="BI112" s="461"/>
      <c r="BJ112" s="461">
        <v>3.0913298945509675E-3</v>
      </c>
      <c r="BK112" s="480"/>
      <c r="BL112" s="461"/>
      <c r="BM112" s="461"/>
      <c r="BN112" s="461"/>
      <c r="BO112" s="461"/>
      <c r="BP112" s="461"/>
      <c r="BQ112" s="461"/>
      <c r="BR112" s="461"/>
      <c r="BS112" s="461"/>
      <c r="BT112" s="461"/>
      <c r="BU112" s="461"/>
      <c r="BV112" s="461">
        <v>3.1321340452213856E-3</v>
      </c>
      <c r="BW112" s="461"/>
      <c r="BX112" s="461"/>
      <c r="BY112" s="461"/>
      <c r="BZ112" s="461">
        <v>6.2762153793973641E-3</v>
      </c>
      <c r="CA112" s="461"/>
      <c r="CB112" s="461"/>
      <c r="CC112" s="461"/>
      <c r="CD112" s="461"/>
      <c r="CE112" s="461"/>
      <c r="CF112" s="461"/>
      <c r="CG112" s="461"/>
      <c r="CH112" s="461"/>
      <c r="CI112" s="461"/>
      <c r="CJ112" s="461"/>
      <c r="CK112" s="461"/>
      <c r="CL112" s="461"/>
      <c r="CM112" s="461"/>
      <c r="CN112" s="461"/>
      <c r="CO112" s="461"/>
      <c r="CP112" s="461"/>
      <c r="CQ112" s="461"/>
      <c r="CR112" s="461"/>
      <c r="CS112" s="461"/>
      <c r="CT112" s="461"/>
      <c r="CU112" s="461"/>
      <c r="CV112" s="461"/>
      <c r="CW112" s="461"/>
      <c r="CX112" s="461"/>
      <c r="CY112" s="461"/>
      <c r="CZ112" s="461"/>
      <c r="DA112" s="461"/>
      <c r="DB112" s="461"/>
      <c r="DC112" s="461"/>
      <c r="DD112" s="461"/>
      <c r="DE112" s="461"/>
      <c r="DF112" s="461"/>
      <c r="DG112" s="461"/>
      <c r="DH112" s="461"/>
      <c r="DI112" s="461"/>
      <c r="DJ112" s="461"/>
      <c r="DK112" s="461"/>
      <c r="DL112" s="461"/>
      <c r="DM112" s="461"/>
      <c r="DN112" s="461"/>
      <c r="DO112" s="461"/>
      <c r="DP112" s="461"/>
      <c r="DQ112" s="461"/>
      <c r="DR112" s="461"/>
      <c r="DS112" s="461"/>
      <c r="DT112" s="461"/>
      <c r="DU112" s="461"/>
      <c r="DV112" s="461"/>
      <c r="DW112" s="461"/>
      <c r="DX112" s="461"/>
      <c r="DY112" s="461"/>
      <c r="DZ112" s="461"/>
      <c r="EA112" s="461"/>
      <c r="EB112" s="461"/>
      <c r="EC112" s="461"/>
      <c r="ED112" s="461"/>
      <c r="EE112" s="461"/>
      <c r="EF112" s="461"/>
      <c r="EG112" s="461"/>
      <c r="EH112" s="461"/>
      <c r="EI112" s="461"/>
      <c r="EJ112" s="461"/>
      <c r="EK112" s="461"/>
      <c r="EL112" s="461"/>
      <c r="EM112" s="461"/>
      <c r="EN112" s="461"/>
      <c r="EO112" s="461"/>
      <c r="EP112" s="461"/>
      <c r="EQ112" s="461"/>
      <c r="ER112" s="461"/>
      <c r="ES112" s="461"/>
      <c r="ET112" s="461"/>
      <c r="EU112" s="461"/>
      <c r="EV112" s="461"/>
      <c r="EW112" s="461"/>
      <c r="EX112" s="461"/>
      <c r="EY112" s="461"/>
      <c r="EZ112" s="461"/>
      <c r="FA112" s="461"/>
      <c r="FB112" s="461"/>
      <c r="FC112" s="461"/>
      <c r="FD112" s="461"/>
      <c r="FE112" s="461"/>
      <c r="FF112" s="461"/>
      <c r="FG112" s="461"/>
      <c r="FH112" s="461"/>
      <c r="FI112" s="461"/>
      <c r="FJ112" s="461"/>
      <c r="FK112" s="461"/>
      <c r="FL112" s="461"/>
      <c r="FM112" s="461"/>
      <c r="FN112" s="461"/>
      <c r="FO112" s="461"/>
      <c r="FP112" s="461">
        <v>2.5897638596588557</v>
      </c>
      <c r="FQ112" s="461">
        <v>2.9361687236879992</v>
      </c>
      <c r="FR112" s="461">
        <v>2.6835978933070925</v>
      </c>
      <c r="FS112" s="461">
        <v>2.4232521740412638</v>
      </c>
      <c r="FT112" s="461">
        <v>2.1580387632564424</v>
      </c>
      <c r="FU112" s="461">
        <v>1.929546618985994</v>
      </c>
      <c r="FV112" s="461">
        <v>1.6887015478645335</v>
      </c>
      <c r="FW112" s="461">
        <v>1.6762003520355611</v>
      </c>
      <c r="FX112" s="461">
        <v>1.5379339812471169</v>
      </c>
      <c r="FY112" s="461">
        <v>1.3743818316766958</v>
      </c>
      <c r="FZ112" s="461"/>
      <c r="GA112" s="461"/>
      <c r="GB112" s="461"/>
      <c r="GC112" s="461"/>
      <c r="GD112" s="469"/>
      <c r="GE112" s="469"/>
      <c r="GF112" s="469"/>
      <c r="GG112" s="469"/>
      <c r="GH112" s="469"/>
      <c r="GI112" s="469"/>
      <c r="GJ112" s="469">
        <v>-7.2861014706338628E-2</v>
      </c>
      <c r="GK112" s="469">
        <v>3.2530062595247329</v>
      </c>
      <c r="GL112" s="469">
        <v>25.414297181642084</v>
      </c>
      <c r="GM112" s="458"/>
      <c r="GN112" s="464"/>
      <c r="GO112" s="470"/>
      <c r="GP112" s="468"/>
    </row>
    <row r="113" spans="1:198" x14ac:dyDescent="0.25">
      <c r="A113" s="465" t="s">
        <v>2311</v>
      </c>
      <c r="B113" s="461"/>
      <c r="C113" s="461"/>
      <c r="D113" s="461"/>
      <c r="E113" s="461"/>
      <c r="F113" s="461"/>
      <c r="G113" s="461"/>
      <c r="H113" s="461"/>
      <c r="I113" s="461"/>
      <c r="J113" s="461"/>
      <c r="K113" s="461"/>
      <c r="L113" s="461"/>
      <c r="M113" s="461">
        <v>15.408104347695108</v>
      </c>
      <c r="N113" s="461">
        <v>1.0204062987741207</v>
      </c>
      <c r="O113" s="461">
        <v>0.12360317608418743</v>
      </c>
      <c r="P113" s="461">
        <v>3.6046266173558887E-3</v>
      </c>
      <c r="Q113" s="461"/>
      <c r="R113" s="461">
        <v>1.939599656059782E-5</v>
      </c>
      <c r="S113" s="461"/>
      <c r="T113" s="461"/>
      <c r="U113" s="461">
        <v>1.1718021044890233E-3</v>
      </c>
      <c r="V113" s="461"/>
      <c r="W113" s="461"/>
      <c r="X113" s="461"/>
      <c r="Y113" s="461"/>
      <c r="Z113" s="461"/>
      <c r="AA113" s="461">
        <v>0.11310525396792422</v>
      </c>
      <c r="AB113" s="461"/>
      <c r="AC113" s="461">
        <v>0.31478393667646826</v>
      </c>
      <c r="AD113" s="461">
        <v>4.9120695969938968E-3</v>
      </c>
      <c r="AE113" s="461">
        <v>8.4146000129961263E-3</v>
      </c>
      <c r="AF113" s="461"/>
      <c r="AG113" s="461"/>
      <c r="AH113" s="461"/>
      <c r="AI113" s="461"/>
      <c r="AJ113" s="461"/>
      <c r="AK113" s="461"/>
      <c r="AL113" s="461"/>
      <c r="AM113" s="461"/>
      <c r="AN113" s="461"/>
      <c r="AO113" s="461"/>
      <c r="AP113" s="461"/>
      <c r="AQ113" s="461"/>
      <c r="AR113" s="461"/>
      <c r="AS113" s="461"/>
      <c r="AT113" s="461"/>
      <c r="AU113" s="461"/>
      <c r="AV113" s="461"/>
      <c r="AW113" s="461"/>
      <c r="AX113" s="461"/>
      <c r="AY113" s="461"/>
      <c r="AZ113" s="461"/>
      <c r="BA113" s="461"/>
      <c r="BB113" s="461"/>
      <c r="BC113" s="461"/>
      <c r="BD113" s="461"/>
      <c r="BE113" s="461"/>
      <c r="BF113" s="461"/>
      <c r="BG113" s="461"/>
      <c r="BH113" s="461"/>
      <c r="BI113" s="461"/>
      <c r="BJ113" s="461">
        <v>7.8229730109697214E-5</v>
      </c>
      <c r="BK113" s="480">
        <v>5.8434817585881274E-3</v>
      </c>
      <c r="BL113" s="461"/>
      <c r="BM113" s="461"/>
      <c r="BN113" s="461"/>
      <c r="BO113" s="461"/>
      <c r="BP113" s="461"/>
      <c r="BQ113" s="461"/>
      <c r="BR113" s="461"/>
      <c r="BS113" s="461"/>
      <c r="BT113" s="461"/>
      <c r="BU113" s="461"/>
      <c r="BV113" s="461"/>
      <c r="BW113" s="461"/>
      <c r="BX113" s="461"/>
      <c r="BY113" s="461">
        <v>2.8627827636045207E-3</v>
      </c>
      <c r="BZ113" s="461">
        <v>1.5437059528276649E-4</v>
      </c>
      <c r="CA113" s="461"/>
      <c r="CB113" s="461"/>
      <c r="CC113" s="461"/>
      <c r="CD113" s="461"/>
      <c r="CE113" s="461"/>
      <c r="CF113" s="461"/>
      <c r="CG113" s="461"/>
      <c r="CH113" s="461"/>
      <c r="CI113" s="461"/>
      <c r="CJ113" s="461"/>
      <c r="CK113" s="461"/>
      <c r="CL113" s="461"/>
      <c r="CM113" s="461"/>
      <c r="CN113" s="461"/>
      <c r="CO113" s="461"/>
      <c r="CP113" s="461"/>
      <c r="CQ113" s="461"/>
      <c r="CR113" s="461"/>
      <c r="CS113" s="461"/>
      <c r="CT113" s="461"/>
      <c r="CU113" s="461"/>
      <c r="CV113" s="461"/>
      <c r="CW113" s="461"/>
      <c r="CX113" s="461"/>
      <c r="CY113" s="461"/>
      <c r="CZ113" s="461"/>
      <c r="DA113" s="461"/>
      <c r="DB113" s="461"/>
      <c r="DC113" s="461"/>
      <c r="DD113" s="461"/>
      <c r="DE113" s="461"/>
      <c r="DF113" s="461"/>
      <c r="DG113" s="461"/>
      <c r="DH113" s="461"/>
      <c r="DI113" s="461"/>
      <c r="DJ113" s="461"/>
      <c r="DK113" s="461"/>
      <c r="DL113" s="461"/>
      <c r="DM113" s="461"/>
      <c r="DN113" s="461"/>
      <c r="DO113" s="461"/>
      <c r="DP113" s="461"/>
      <c r="DQ113" s="461"/>
      <c r="DR113" s="461"/>
      <c r="DS113" s="461"/>
      <c r="DT113" s="461"/>
      <c r="DU113" s="461"/>
      <c r="DV113" s="461"/>
      <c r="DW113" s="461"/>
      <c r="DX113" s="461"/>
      <c r="DY113" s="461"/>
      <c r="DZ113" s="461"/>
      <c r="EA113" s="461"/>
      <c r="EB113" s="461"/>
      <c r="EC113" s="461"/>
      <c r="ED113" s="461"/>
      <c r="EE113" s="461"/>
      <c r="EF113" s="461"/>
      <c r="EG113" s="461"/>
      <c r="EH113" s="461"/>
      <c r="EI113" s="461"/>
      <c r="EJ113" s="461"/>
      <c r="EK113" s="461"/>
      <c r="EL113" s="461"/>
      <c r="EM113" s="461"/>
      <c r="EN113" s="461"/>
      <c r="EO113" s="461"/>
      <c r="EP113" s="461"/>
      <c r="EQ113" s="461"/>
      <c r="ER113" s="461"/>
      <c r="ES113" s="461"/>
      <c r="ET113" s="461"/>
      <c r="EU113" s="461"/>
      <c r="EV113" s="461"/>
      <c r="EW113" s="461"/>
      <c r="EX113" s="461"/>
      <c r="EY113" s="461"/>
      <c r="EZ113" s="461"/>
      <c r="FA113" s="461"/>
      <c r="FB113" s="461"/>
      <c r="FC113" s="461"/>
      <c r="FD113" s="461"/>
      <c r="FE113" s="461"/>
      <c r="FF113" s="461"/>
      <c r="FG113" s="461"/>
      <c r="FH113" s="461"/>
      <c r="FI113" s="461"/>
      <c r="FJ113" s="461"/>
      <c r="FK113" s="461"/>
      <c r="FL113" s="461"/>
      <c r="FM113" s="461"/>
      <c r="FN113" s="461"/>
      <c r="FO113" s="461"/>
      <c r="FP113" s="461">
        <v>4.3703835125093592E-2</v>
      </c>
      <c r="FQ113" s="461">
        <v>6.7930306059698756E-2</v>
      </c>
      <c r="FR113" s="461">
        <v>0.13101925698016242</v>
      </c>
      <c r="FS113" s="461">
        <v>0.23644905112544787</v>
      </c>
      <c r="FT113" s="461">
        <v>0.28118865284986455</v>
      </c>
      <c r="FU113" s="461">
        <v>0.53797077306811858</v>
      </c>
      <c r="FV113" s="461">
        <v>0.71485348809743143</v>
      </c>
      <c r="FW113" s="461">
        <v>1.464804873496647</v>
      </c>
      <c r="FX113" s="461">
        <v>3.6945419705774456</v>
      </c>
      <c r="FY113" s="461">
        <v>7.214198622900315</v>
      </c>
      <c r="FZ113" s="461"/>
      <c r="GA113" s="461"/>
      <c r="GB113" s="461"/>
      <c r="GC113" s="461"/>
      <c r="GD113" s="469"/>
      <c r="GE113" s="469"/>
      <c r="GF113" s="469"/>
      <c r="GG113" s="469"/>
      <c r="GH113" s="469"/>
      <c r="GI113" s="469"/>
      <c r="GJ113" s="469">
        <v>0.412092007389464</v>
      </c>
      <c r="GK113" s="469">
        <v>2.8590241208601004</v>
      </c>
      <c r="GL113" s="469">
        <v>34.664841330903585</v>
      </c>
      <c r="GM113" s="458"/>
      <c r="GN113" s="464"/>
      <c r="GO113" s="470"/>
      <c r="GP113" s="468"/>
    </row>
    <row r="114" spans="1:198" x14ac:dyDescent="0.25">
      <c r="A114" s="465" t="s">
        <v>2312</v>
      </c>
      <c r="B114" s="461"/>
      <c r="C114" s="461"/>
      <c r="D114" s="461"/>
      <c r="E114" s="461"/>
      <c r="F114" s="461"/>
      <c r="G114" s="461"/>
      <c r="H114" s="461"/>
      <c r="I114" s="461"/>
      <c r="J114" s="461"/>
      <c r="K114" s="461"/>
      <c r="L114" s="461"/>
      <c r="M114" s="461"/>
      <c r="N114" s="461"/>
      <c r="O114" s="461"/>
      <c r="P114" s="461"/>
      <c r="Q114" s="461"/>
      <c r="R114" s="461"/>
      <c r="S114" s="461"/>
      <c r="T114" s="461"/>
      <c r="U114" s="461"/>
      <c r="V114" s="461"/>
      <c r="W114" s="461">
        <v>0.48937588159381701</v>
      </c>
      <c r="X114" s="461"/>
      <c r="Y114" s="461"/>
      <c r="Z114" s="461"/>
      <c r="AA114" s="461"/>
      <c r="AB114" s="461"/>
      <c r="AC114" s="461"/>
      <c r="AD114" s="461">
        <v>2.0658745811292634</v>
      </c>
      <c r="AE114" s="461"/>
      <c r="AF114" s="461">
        <v>1.3046255101940176E-4</v>
      </c>
      <c r="AG114" s="461"/>
      <c r="AH114" s="461">
        <v>0.54294149659744351</v>
      </c>
      <c r="AI114" s="461">
        <v>1.027483019330983E-2</v>
      </c>
      <c r="AJ114" s="461"/>
      <c r="AK114" s="461"/>
      <c r="AL114" s="461"/>
      <c r="AM114" s="461"/>
      <c r="AN114" s="461"/>
      <c r="AO114" s="461"/>
      <c r="AP114" s="461"/>
      <c r="AQ114" s="461"/>
      <c r="AR114" s="461"/>
      <c r="AS114" s="461"/>
      <c r="AT114" s="461"/>
      <c r="AU114" s="461"/>
      <c r="AV114" s="461"/>
      <c r="AW114" s="461"/>
      <c r="AX114" s="461"/>
      <c r="AY114" s="461"/>
      <c r="AZ114" s="461"/>
      <c r="BA114" s="461"/>
      <c r="BB114" s="461"/>
      <c r="BC114" s="461"/>
      <c r="BD114" s="461"/>
      <c r="BE114" s="461"/>
      <c r="BF114" s="461"/>
      <c r="BG114" s="461"/>
      <c r="BH114" s="461"/>
      <c r="BI114" s="461"/>
      <c r="BJ114" s="461">
        <v>7.3856498696876841E-2</v>
      </c>
      <c r="BK114" s="480">
        <v>0.18871849668068505</v>
      </c>
      <c r="BL114" s="461"/>
      <c r="BM114" s="461"/>
      <c r="BN114" s="461"/>
      <c r="BO114" s="461">
        <v>1.6741303826635523</v>
      </c>
      <c r="BP114" s="461">
        <v>1.1653021407903152E-2</v>
      </c>
      <c r="BQ114" s="461">
        <v>3.8970263198385834E-2</v>
      </c>
      <c r="BR114" s="461">
        <v>7.0579197584505196E-3</v>
      </c>
      <c r="BS114" s="461">
        <v>6.5022972035862188E-3</v>
      </c>
      <c r="BT114" s="461"/>
      <c r="BU114" s="461">
        <v>1.6860363259875565E-2</v>
      </c>
      <c r="BV114" s="461">
        <v>9.1459047899087306E-2</v>
      </c>
      <c r="BW114" s="461"/>
      <c r="BX114" s="461">
        <v>6.401818036403883</v>
      </c>
      <c r="BY114" s="461">
        <v>3.1961328184918414</v>
      </c>
      <c r="BZ114" s="461">
        <v>4.1711525844584836</v>
      </c>
      <c r="CA114" s="461"/>
      <c r="CB114" s="461"/>
      <c r="CC114" s="461"/>
      <c r="CD114" s="461"/>
      <c r="CE114" s="461"/>
      <c r="CF114" s="461"/>
      <c r="CG114" s="461"/>
      <c r="CH114" s="461"/>
      <c r="CI114" s="461"/>
      <c r="CJ114" s="461"/>
      <c r="CK114" s="461"/>
      <c r="CL114" s="461"/>
      <c r="CM114" s="461"/>
      <c r="CN114" s="461"/>
      <c r="CO114" s="461"/>
      <c r="CP114" s="461"/>
      <c r="CQ114" s="461"/>
      <c r="CR114" s="461"/>
      <c r="CS114" s="461"/>
      <c r="CT114" s="461"/>
      <c r="CU114" s="461"/>
      <c r="CV114" s="461"/>
      <c r="CW114" s="461"/>
      <c r="CX114" s="461"/>
      <c r="CY114" s="461"/>
      <c r="CZ114" s="461"/>
      <c r="DA114" s="461"/>
      <c r="DB114" s="461"/>
      <c r="DC114" s="461"/>
      <c r="DD114" s="461"/>
      <c r="DE114" s="461"/>
      <c r="DF114" s="461"/>
      <c r="DG114" s="461"/>
      <c r="DH114" s="461"/>
      <c r="DI114" s="461"/>
      <c r="DJ114" s="461"/>
      <c r="DK114" s="461"/>
      <c r="DL114" s="461"/>
      <c r="DM114" s="461"/>
      <c r="DN114" s="461"/>
      <c r="DO114" s="461"/>
      <c r="DP114" s="461"/>
      <c r="DQ114" s="461"/>
      <c r="DR114" s="461"/>
      <c r="DS114" s="461"/>
      <c r="DT114" s="461"/>
      <c r="DU114" s="461"/>
      <c r="DV114" s="461"/>
      <c r="DW114" s="461"/>
      <c r="DX114" s="461"/>
      <c r="DY114" s="461"/>
      <c r="DZ114" s="461"/>
      <c r="EA114" s="461"/>
      <c r="EB114" s="461"/>
      <c r="EC114" s="461"/>
      <c r="ED114" s="461"/>
      <c r="EE114" s="461"/>
      <c r="EF114" s="461"/>
      <c r="EG114" s="461"/>
      <c r="EH114" s="461"/>
      <c r="EI114" s="461"/>
      <c r="EJ114" s="461"/>
      <c r="EK114" s="461"/>
      <c r="EL114" s="461"/>
      <c r="EM114" s="461"/>
      <c r="EN114" s="461"/>
      <c r="EO114" s="461"/>
      <c r="EP114" s="461"/>
      <c r="EQ114" s="461"/>
      <c r="ER114" s="461"/>
      <c r="ES114" s="461"/>
      <c r="ET114" s="461"/>
      <c r="EU114" s="461"/>
      <c r="EV114" s="461"/>
      <c r="EW114" s="461"/>
      <c r="EX114" s="461"/>
      <c r="EY114" s="461"/>
      <c r="EZ114" s="461"/>
      <c r="FA114" s="461"/>
      <c r="FB114" s="461"/>
      <c r="FC114" s="461"/>
      <c r="FD114" s="461"/>
      <c r="FE114" s="461"/>
      <c r="FF114" s="461"/>
      <c r="FG114" s="461"/>
      <c r="FH114" s="461"/>
      <c r="FI114" s="461"/>
      <c r="FJ114" s="461"/>
      <c r="FK114" s="461"/>
      <c r="FL114" s="461"/>
      <c r="FM114" s="461"/>
      <c r="FN114" s="461"/>
      <c r="FO114" s="461"/>
      <c r="FP114" s="461">
        <v>6.2886008658114365</v>
      </c>
      <c r="FQ114" s="461">
        <v>7.772645465806403</v>
      </c>
      <c r="FR114" s="461">
        <v>8.4443813024822347</v>
      </c>
      <c r="FS114" s="461">
        <v>8.9839599121903237</v>
      </c>
      <c r="FT114" s="461">
        <v>9.174152650143288</v>
      </c>
      <c r="FU114" s="461">
        <v>9.6471851447307611</v>
      </c>
      <c r="FV114" s="461">
        <v>9.4497211315311986</v>
      </c>
      <c r="FW114" s="461">
        <v>9.822495770065558</v>
      </c>
      <c r="FX114" s="461">
        <v>10.713022045709732</v>
      </c>
      <c r="FY114" s="461">
        <v>10.785574433835668</v>
      </c>
      <c r="FZ114" s="461"/>
      <c r="GA114" s="461"/>
      <c r="GB114" s="461"/>
      <c r="GC114" s="461"/>
      <c r="GD114" s="469"/>
      <c r="GE114" s="469"/>
      <c r="GF114" s="469"/>
      <c r="GG114" s="469"/>
      <c r="GH114" s="469"/>
      <c r="GI114" s="469"/>
      <c r="GJ114" s="469">
        <v>1.6852600043519139</v>
      </c>
      <c r="GK114" s="469">
        <v>3.8401868168848545</v>
      </c>
      <c r="GL114" s="469">
        <v>115.59409452573082</v>
      </c>
      <c r="GM114" s="458"/>
      <c r="GN114" s="464"/>
      <c r="GO114" s="470"/>
      <c r="GP114" s="468"/>
    </row>
    <row r="115" spans="1:198" x14ac:dyDescent="0.25">
      <c r="A115" s="465" t="s">
        <v>2313</v>
      </c>
      <c r="B115" s="461"/>
      <c r="C115" s="461"/>
      <c r="D115" s="461"/>
      <c r="E115" s="461"/>
      <c r="F115" s="461"/>
      <c r="G115" s="461"/>
      <c r="H115" s="461"/>
      <c r="I115" s="461"/>
      <c r="J115" s="461"/>
      <c r="K115" s="461"/>
      <c r="L115" s="461"/>
      <c r="M115" s="461"/>
      <c r="N115" s="461"/>
      <c r="O115" s="461"/>
      <c r="P115" s="461"/>
      <c r="Q115" s="461"/>
      <c r="R115" s="461"/>
      <c r="S115" s="461"/>
      <c r="T115" s="461"/>
      <c r="U115" s="461"/>
      <c r="V115" s="461">
        <v>0.32831939880500077</v>
      </c>
      <c r="W115" s="461"/>
      <c r="X115" s="461">
        <v>0.9062449639012562</v>
      </c>
      <c r="Y115" s="461">
        <v>1.4835932686900004E-3</v>
      </c>
      <c r="Z115" s="461">
        <v>0.41361871771861225</v>
      </c>
      <c r="AA115" s="461">
        <v>0.77501591683769067</v>
      </c>
      <c r="AB115" s="461"/>
      <c r="AC115" s="461">
        <v>9.0618697316311673E-3</v>
      </c>
      <c r="AD115" s="461">
        <v>0.94047772112843664</v>
      </c>
      <c r="AE115" s="461">
        <v>3.4350284755416724E-2</v>
      </c>
      <c r="AF115" s="461">
        <v>0.48759163173678804</v>
      </c>
      <c r="AG115" s="461"/>
      <c r="AH115" s="461">
        <v>0.65675193059906378</v>
      </c>
      <c r="AI115" s="461">
        <v>2.6545924204353275</v>
      </c>
      <c r="AJ115" s="461"/>
      <c r="AK115" s="461"/>
      <c r="AL115" s="461">
        <v>1.5847712748683056E-3</v>
      </c>
      <c r="AM115" s="461"/>
      <c r="AN115" s="461"/>
      <c r="AO115" s="461"/>
      <c r="AP115" s="461"/>
      <c r="AQ115" s="461"/>
      <c r="AR115" s="461">
        <v>2.3763049881063898E-3</v>
      </c>
      <c r="AS115" s="461">
        <v>4.8870481131926186E-2</v>
      </c>
      <c r="AT115" s="461">
        <v>0.43983433018733575</v>
      </c>
      <c r="AU115" s="461">
        <v>0.95146045520469646</v>
      </c>
      <c r="AV115" s="461"/>
      <c r="AW115" s="461"/>
      <c r="AX115" s="461"/>
      <c r="AY115" s="461"/>
      <c r="AZ115" s="461"/>
      <c r="BA115" s="461"/>
      <c r="BB115" s="461"/>
      <c r="BC115" s="461"/>
      <c r="BD115" s="461"/>
      <c r="BE115" s="461"/>
      <c r="BF115" s="461"/>
      <c r="BG115" s="461"/>
      <c r="BH115" s="461"/>
      <c r="BI115" s="461"/>
      <c r="BJ115" s="461">
        <v>4.5521106214054696E-2</v>
      </c>
      <c r="BK115" s="480">
        <v>4.3082687016660348E-2</v>
      </c>
      <c r="BL115" s="461"/>
      <c r="BM115" s="461"/>
      <c r="BN115" s="461">
        <v>0.62551089203571153</v>
      </c>
      <c r="BO115" s="461"/>
      <c r="BP115" s="461">
        <v>4.1746428963399329E-3</v>
      </c>
      <c r="BQ115" s="461">
        <v>1.3960426195736919E-2</v>
      </c>
      <c r="BR115" s="461">
        <v>2.5289137882566182E-3</v>
      </c>
      <c r="BS115" s="461">
        <v>2.3298454285784198E-3</v>
      </c>
      <c r="BT115" s="461"/>
      <c r="BU115" s="461">
        <v>6.0401731395920933E-3</v>
      </c>
      <c r="BV115" s="461">
        <v>2.5061060061960468E-3</v>
      </c>
      <c r="BW115" s="461"/>
      <c r="BX115" s="461">
        <v>0.90320788690720089</v>
      </c>
      <c r="BY115" s="461">
        <v>0.13507686399422741</v>
      </c>
      <c r="BZ115" s="461">
        <v>0.19508520917533767</v>
      </c>
      <c r="CA115" s="461"/>
      <c r="CB115" s="461"/>
      <c r="CC115" s="461"/>
      <c r="CD115" s="461"/>
      <c r="CE115" s="461"/>
      <c r="CF115" s="461"/>
      <c r="CG115" s="461"/>
      <c r="CH115" s="461"/>
      <c r="CI115" s="461"/>
      <c r="CJ115" s="461"/>
      <c r="CK115" s="461"/>
      <c r="CL115" s="461"/>
      <c r="CM115" s="461"/>
      <c r="CN115" s="461"/>
      <c r="CO115" s="461"/>
      <c r="CP115" s="461"/>
      <c r="CQ115" s="461"/>
      <c r="CR115" s="461"/>
      <c r="CS115" s="461"/>
      <c r="CT115" s="461"/>
      <c r="CU115" s="461"/>
      <c r="CV115" s="461"/>
      <c r="CW115" s="461"/>
      <c r="CX115" s="461"/>
      <c r="CY115" s="461"/>
      <c r="CZ115" s="461"/>
      <c r="DA115" s="461"/>
      <c r="DB115" s="461"/>
      <c r="DC115" s="461"/>
      <c r="DD115" s="461"/>
      <c r="DE115" s="461"/>
      <c r="DF115" s="461"/>
      <c r="DG115" s="461"/>
      <c r="DH115" s="461"/>
      <c r="DI115" s="461"/>
      <c r="DJ115" s="461"/>
      <c r="DK115" s="461"/>
      <c r="DL115" s="461"/>
      <c r="DM115" s="461"/>
      <c r="DN115" s="461"/>
      <c r="DO115" s="461"/>
      <c r="DP115" s="461"/>
      <c r="DQ115" s="461"/>
      <c r="DR115" s="461"/>
      <c r="DS115" s="461"/>
      <c r="DT115" s="461"/>
      <c r="DU115" s="461"/>
      <c r="DV115" s="461"/>
      <c r="DW115" s="461"/>
      <c r="DX115" s="461"/>
      <c r="DY115" s="461"/>
      <c r="DZ115" s="461"/>
      <c r="EA115" s="461"/>
      <c r="EB115" s="461"/>
      <c r="EC115" s="461"/>
      <c r="ED115" s="461"/>
      <c r="EE115" s="461"/>
      <c r="EF115" s="461"/>
      <c r="EG115" s="461"/>
      <c r="EH115" s="461"/>
      <c r="EI115" s="461"/>
      <c r="EJ115" s="461"/>
      <c r="EK115" s="461"/>
      <c r="EL115" s="461"/>
      <c r="EM115" s="461"/>
      <c r="EN115" s="461"/>
      <c r="EO115" s="461"/>
      <c r="EP115" s="461"/>
      <c r="EQ115" s="461"/>
      <c r="ER115" s="461"/>
      <c r="ES115" s="461"/>
      <c r="ET115" s="461"/>
      <c r="EU115" s="461"/>
      <c r="EV115" s="461"/>
      <c r="EW115" s="461"/>
      <c r="EX115" s="461"/>
      <c r="EY115" s="461"/>
      <c r="EZ115" s="461"/>
      <c r="FA115" s="461"/>
      <c r="FB115" s="461"/>
      <c r="FC115" s="461"/>
      <c r="FD115" s="461"/>
      <c r="FE115" s="461"/>
      <c r="FF115" s="461"/>
      <c r="FG115" s="461"/>
      <c r="FH115" s="461"/>
      <c r="FI115" s="461"/>
      <c r="FJ115" s="461"/>
      <c r="FK115" s="461"/>
      <c r="FL115" s="461"/>
      <c r="FM115" s="461"/>
      <c r="FN115" s="461"/>
      <c r="FO115" s="461"/>
      <c r="FP115" s="461">
        <v>2.2730052754619376</v>
      </c>
      <c r="FQ115" s="461">
        <v>2.843310813153034</v>
      </c>
      <c r="FR115" s="461">
        <v>2.6995377802112417</v>
      </c>
      <c r="FS115" s="461">
        <v>2.5204944144198742</v>
      </c>
      <c r="FT115" s="461">
        <v>2.4956799035821624</v>
      </c>
      <c r="FU115" s="461">
        <v>2.2109077679663707</v>
      </c>
      <c r="FV115" s="461">
        <v>1.8979000822853525</v>
      </c>
      <c r="FW115" s="461">
        <v>1.807799375186331</v>
      </c>
      <c r="FX115" s="461">
        <v>1.7359267658987052</v>
      </c>
      <c r="FY115" s="461">
        <v>1.5239186745042652</v>
      </c>
      <c r="FZ115" s="461"/>
      <c r="GA115" s="461"/>
      <c r="GB115" s="461"/>
      <c r="GC115" s="461"/>
      <c r="GD115" s="469"/>
      <c r="GE115" s="469"/>
      <c r="GF115" s="469"/>
      <c r="GG115" s="469"/>
      <c r="GH115" s="469"/>
      <c r="GI115" s="469"/>
      <c r="GJ115" s="469">
        <v>-5.0580819319926654E-2</v>
      </c>
      <c r="GK115" s="469">
        <v>3.2190572963318069</v>
      </c>
      <c r="GL115" s="469">
        <v>35.807616874183893</v>
      </c>
      <c r="GM115" s="458"/>
      <c r="GN115" s="464"/>
      <c r="GO115" s="470"/>
      <c r="GP115" s="468"/>
    </row>
    <row r="116" spans="1:198" x14ac:dyDescent="0.25">
      <c r="A116" s="465" t="s">
        <v>2314</v>
      </c>
      <c r="B116" s="461"/>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v>9.1178150681021971E-3</v>
      </c>
      <c r="Z116" s="461"/>
      <c r="AA116" s="461"/>
      <c r="AB116" s="461"/>
      <c r="AC116" s="461"/>
      <c r="AD116" s="461">
        <v>1.5230065498306073</v>
      </c>
      <c r="AE116" s="461">
        <v>1.1651786283077985E-2</v>
      </c>
      <c r="AF116" s="461">
        <v>2.2793260300172014</v>
      </c>
      <c r="AG116" s="461"/>
      <c r="AH116" s="461">
        <v>2.7614982216300918E-2</v>
      </c>
      <c r="AI116" s="461"/>
      <c r="AJ116" s="461"/>
      <c r="AK116" s="461"/>
      <c r="AL116" s="461"/>
      <c r="AM116" s="461"/>
      <c r="AN116" s="461"/>
      <c r="AO116" s="461"/>
      <c r="AP116" s="461"/>
      <c r="AQ116" s="461"/>
      <c r="AR116" s="461"/>
      <c r="AS116" s="461"/>
      <c r="AT116" s="461"/>
      <c r="AU116" s="461"/>
      <c r="AV116" s="461"/>
      <c r="AW116" s="461"/>
      <c r="AX116" s="461"/>
      <c r="AY116" s="461"/>
      <c r="AZ116" s="461"/>
      <c r="BA116" s="461"/>
      <c r="BB116" s="461"/>
      <c r="BC116" s="461"/>
      <c r="BD116" s="461"/>
      <c r="BE116" s="461"/>
      <c r="BF116" s="461"/>
      <c r="BG116" s="461"/>
      <c r="BH116" s="461"/>
      <c r="BI116" s="461"/>
      <c r="BJ116" s="461">
        <v>2.7409340237046255E-2</v>
      </c>
      <c r="BK116" s="480"/>
      <c r="BL116" s="461"/>
      <c r="BM116" s="461"/>
      <c r="BN116" s="461"/>
      <c r="BO116" s="461">
        <v>0.50172767053865386</v>
      </c>
      <c r="BP116" s="461">
        <v>1.7501103280401033E-2</v>
      </c>
      <c r="BQ116" s="461">
        <v>5.8528833239071001E-2</v>
      </c>
      <c r="BR116" s="461">
        <v>1.0590083784149943E-2</v>
      </c>
      <c r="BS116" s="461">
        <v>9.7563464909030655E-3</v>
      </c>
      <c r="BT116" s="461"/>
      <c r="BU116" s="461">
        <v>2.530379216606481E-2</v>
      </c>
      <c r="BV116" s="461">
        <v>2.250150304562526E-3</v>
      </c>
      <c r="BW116" s="461"/>
      <c r="BX116" s="461"/>
      <c r="BY116" s="461"/>
      <c r="BZ116" s="461">
        <v>0.37918890792995708</v>
      </c>
      <c r="CA116" s="461"/>
      <c r="CB116" s="461"/>
      <c r="CC116" s="461"/>
      <c r="CD116" s="461"/>
      <c r="CE116" s="461"/>
      <c r="CF116" s="461"/>
      <c r="CG116" s="461"/>
      <c r="CH116" s="461"/>
      <c r="CI116" s="461"/>
      <c r="CJ116" s="461"/>
      <c r="CK116" s="461"/>
      <c r="CL116" s="461"/>
      <c r="CM116" s="461"/>
      <c r="CN116" s="461"/>
      <c r="CO116" s="461"/>
      <c r="CP116" s="461"/>
      <c r="CQ116" s="461"/>
      <c r="CR116" s="461"/>
      <c r="CS116" s="461"/>
      <c r="CT116" s="461"/>
      <c r="CU116" s="461"/>
      <c r="CV116" s="461"/>
      <c r="CW116" s="461"/>
      <c r="CX116" s="461"/>
      <c r="CY116" s="461"/>
      <c r="CZ116" s="461"/>
      <c r="DA116" s="461"/>
      <c r="DB116" s="461"/>
      <c r="DC116" s="461"/>
      <c r="DD116" s="461"/>
      <c r="DE116" s="461"/>
      <c r="DF116" s="461"/>
      <c r="DG116" s="461"/>
      <c r="DH116" s="461"/>
      <c r="DI116" s="461"/>
      <c r="DJ116" s="461"/>
      <c r="DK116" s="461"/>
      <c r="DL116" s="461"/>
      <c r="DM116" s="461"/>
      <c r="DN116" s="461"/>
      <c r="DO116" s="461"/>
      <c r="DP116" s="461"/>
      <c r="DQ116" s="461"/>
      <c r="DR116" s="461"/>
      <c r="DS116" s="461"/>
      <c r="DT116" s="461"/>
      <c r="DU116" s="461"/>
      <c r="DV116" s="461"/>
      <c r="DW116" s="461"/>
      <c r="DX116" s="461"/>
      <c r="DY116" s="461"/>
      <c r="DZ116" s="461"/>
      <c r="EA116" s="461"/>
      <c r="EB116" s="461"/>
      <c r="EC116" s="461"/>
      <c r="ED116" s="461"/>
      <c r="EE116" s="461"/>
      <c r="EF116" s="461"/>
      <c r="EG116" s="461"/>
      <c r="EH116" s="461"/>
      <c r="EI116" s="461"/>
      <c r="EJ116" s="461"/>
      <c r="EK116" s="461"/>
      <c r="EL116" s="461"/>
      <c r="EM116" s="461"/>
      <c r="EN116" s="461"/>
      <c r="EO116" s="461"/>
      <c r="EP116" s="461"/>
      <c r="EQ116" s="461"/>
      <c r="ER116" s="461"/>
      <c r="ES116" s="461"/>
      <c r="ET116" s="461"/>
      <c r="EU116" s="461"/>
      <c r="EV116" s="461"/>
      <c r="EW116" s="461"/>
      <c r="EX116" s="461"/>
      <c r="EY116" s="461"/>
      <c r="EZ116" s="461"/>
      <c r="FA116" s="461"/>
      <c r="FB116" s="461"/>
      <c r="FC116" s="461"/>
      <c r="FD116" s="461"/>
      <c r="FE116" s="461"/>
      <c r="FF116" s="461"/>
      <c r="FG116" s="461"/>
      <c r="FH116" s="461"/>
      <c r="FI116" s="461"/>
      <c r="FJ116" s="461"/>
      <c r="FK116" s="461"/>
      <c r="FL116" s="461"/>
      <c r="FM116" s="461"/>
      <c r="FN116" s="461"/>
      <c r="FO116" s="461"/>
      <c r="FP116" s="461">
        <v>0.19929821530130343</v>
      </c>
      <c r="FQ116" s="461">
        <v>0.36100820003076511</v>
      </c>
      <c r="FR116" s="461">
        <v>0.33211949921155931</v>
      </c>
      <c r="FS116" s="461">
        <v>0.44165425502400268</v>
      </c>
      <c r="FT116" s="461">
        <v>0.49464387252195402</v>
      </c>
      <c r="FU116" s="461">
        <v>0.72323450170254444</v>
      </c>
      <c r="FV116" s="461">
        <v>0.71141085056202313</v>
      </c>
      <c r="FW116" s="461">
        <v>1.180934563642805</v>
      </c>
      <c r="FX116" s="461">
        <v>2.1480665263527228</v>
      </c>
      <c r="FY116" s="461">
        <v>4.9016375614262904</v>
      </c>
      <c r="FZ116" s="461"/>
      <c r="GA116" s="461"/>
      <c r="GB116" s="461"/>
      <c r="GC116" s="461"/>
      <c r="GD116" s="469"/>
      <c r="GE116" s="469"/>
      <c r="GF116" s="469"/>
      <c r="GG116" s="469"/>
      <c r="GH116" s="469"/>
      <c r="GI116" s="469"/>
      <c r="GJ116" s="469">
        <v>-5.5549580066333905E-2</v>
      </c>
      <c r="GK116" s="469">
        <v>1.3553822297436684</v>
      </c>
      <c r="GL116" s="469">
        <v>17.676814086839403</v>
      </c>
      <c r="GM116" s="458"/>
      <c r="GN116" s="464"/>
      <c r="GO116" s="470"/>
      <c r="GP116" s="468"/>
    </row>
    <row r="117" spans="1:198" x14ac:dyDescent="0.25">
      <c r="A117" s="465" t="s">
        <v>2315</v>
      </c>
      <c r="B117" s="461"/>
      <c r="C117" s="461"/>
      <c r="D117" s="461"/>
      <c r="E117" s="461"/>
      <c r="F117" s="461"/>
      <c r="G117" s="461"/>
      <c r="H117" s="461"/>
      <c r="I117" s="461"/>
      <c r="J117" s="461"/>
      <c r="K117" s="461"/>
      <c r="L117" s="461"/>
      <c r="M117" s="461"/>
      <c r="N117" s="461"/>
      <c r="O117" s="461"/>
      <c r="P117" s="461"/>
      <c r="Q117" s="461"/>
      <c r="R117" s="461"/>
      <c r="S117" s="461"/>
      <c r="T117" s="461"/>
      <c r="U117" s="461"/>
      <c r="V117" s="461">
        <v>0.24535122012004093</v>
      </c>
      <c r="W117" s="461"/>
      <c r="X117" s="461">
        <v>6.9157175476486747E-3</v>
      </c>
      <c r="Y117" s="461"/>
      <c r="Z117" s="461">
        <v>7.0841053195041734E-2</v>
      </c>
      <c r="AA117" s="461"/>
      <c r="AB117" s="461"/>
      <c r="AC117" s="461"/>
      <c r="AD117" s="461"/>
      <c r="AE117" s="461"/>
      <c r="AF117" s="461">
        <v>0.14841333475265048</v>
      </c>
      <c r="AG117" s="461"/>
      <c r="AH117" s="461">
        <v>1.2614455615597773E-2</v>
      </c>
      <c r="AI117" s="461"/>
      <c r="AJ117" s="461"/>
      <c r="AK117" s="461"/>
      <c r="AL117" s="461"/>
      <c r="AM117" s="461"/>
      <c r="AN117" s="461"/>
      <c r="AO117" s="461"/>
      <c r="AP117" s="461"/>
      <c r="AQ117" s="461"/>
      <c r="AR117" s="461"/>
      <c r="AS117" s="461"/>
      <c r="AT117" s="461"/>
      <c r="AU117" s="461"/>
      <c r="AV117" s="461"/>
      <c r="AW117" s="461"/>
      <c r="AX117" s="461"/>
      <c r="AY117" s="461"/>
      <c r="AZ117" s="461"/>
      <c r="BA117" s="461"/>
      <c r="BB117" s="461"/>
      <c r="BC117" s="461"/>
      <c r="BD117" s="461"/>
      <c r="BE117" s="461"/>
      <c r="BF117" s="461"/>
      <c r="BG117" s="461"/>
      <c r="BH117" s="461"/>
      <c r="BI117" s="461"/>
      <c r="BJ117" s="461">
        <v>7.2310232537484663E-3</v>
      </c>
      <c r="BK117" s="480"/>
      <c r="BL117" s="461"/>
      <c r="BM117" s="461"/>
      <c r="BN117" s="461"/>
      <c r="BO117" s="461"/>
      <c r="BP117" s="461"/>
      <c r="BQ117" s="461"/>
      <c r="BR117" s="461"/>
      <c r="BS117" s="461"/>
      <c r="BT117" s="461"/>
      <c r="BU117" s="461"/>
      <c r="BV117" s="461">
        <v>1.4519625454692311E-2</v>
      </c>
      <c r="BW117" s="461"/>
      <c r="BX117" s="461"/>
      <c r="BY117" s="461"/>
      <c r="BZ117" s="461">
        <v>1.4269213693559785E-2</v>
      </c>
      <c r="CA117" s="461"/>
      <c r="CB117" s="461"/>
      <c r="CC117" s="461"/>
      <c r="CD117" s="461"/>
      <c r="CE117" s="461"/>
      <c r="CF117" s="461"/>
      <c r="CG117" s="461"/>
      <c r="CH117" s="461"/>
      <c r="CI117" s="461"/>
      <c r="CJ117" s="461"/>
      <c r="CK117" s="461"/>
      <c r="CL117" s="461"/>
      <c r="CM117" s="461"/>
      <c r="CN117" s="461"/>
      <c r="CO117" s="461"/>
      <c r="CP117" s="461"/>
      <c r="CQ117" s="461"/>
      <c r="CR117" s="461"/>
      <c r="CS117" s="461"/>
      <c r="CT117" s="461"/>
      <c r="CU117" s="461"/>
      <c r="CV117" s="461"/>
      <c r="CW117" s="461"/>
      <c r="CX117" s="461"/>
      <c r="CY117" s="461"/>
      <c r="CZ117" s="461"/>
      <c r="DA117" s="461"/>
      <c r="DB117" s="461"/>
      <c r="DC117" s="461"/>
      <c r="DD117" s="461"/>
      <c r="DE117" s="461"/>
      <c r="DF117" s="461"/>
      <c r="DG117" s="461"/>
      <c r="DH117" s="461"/>
      <c r="DI117" s="461"/>
      <c r="DJ117" s="461"/>
      <c r="DK117" s="461"/>
      <c r="DL117" s="461"/>
      <c r="DM117" s="461"/>
      <c r="DN117" s="461"/>
      <c r="DO117" s="461"/>
      <c r="DP117" s="461"/>
      <c r="DQ117" s="461"/>
      <c r="DR117" s="461"/>
      <c r="DS117" s="461"/>
      <c r="DT117" s="461"/>
      <c r="DU117" s="461"/>
      <c r="DV117" s="461"/>
      <c r="DW117" s="461"/>
      <c r="DX117" s="461"/>
      <c r="DY117" s="461"/>
      <c r="DZ117" s="461"/>
      <c r="EA117" s="461"/>
      <c r="EB117" s="461"/>
      <c r="EC117" s="461"/>
      <c r="ED117" s="461"/>
      <c r="EE117" s="461"/>
      <c r="EF117" s="461"/>
      <c r="EG117" s="461"/>
      <c r="EH117" s="461"/>
      <c r="EI117" s="461"/>
      <c r="EJ117" s="461"/>
      <c r="EK117" s="461"/>
      <c r="EL117" s="461"/>
      <c r="EM117" s="461"/>
      <c r="EN117" s="461"/>
      <c r="EO117" s="461"/>
      <c r="EP117" s="461"/>
      <c r="EQ117" s="461"/>
      <c r="ER117" s="461"/>
      <c r="ES117" s="461"/>
      <c r="ET117" s="461"/>
      <c r="EU117" s="461"/>
      <c r="EV117" s="461"/>
      <c r="EW117" s="461"/>
      <c r="EX117" s="461"/>
      <c r="EY117" s="461"/>
      <c r="EZ117" s="461"/>
      <c r="FA117" s="461"/>
      <c r="FB117" s="461"/>
      <c r="FC117" s="461"/>
      <c r="FD117" s="461"/>
      <c r="FE117" s="461"/>
      <c r="FF117" s="461"/>
      <c r="FG117" s="461"/>
      <c r="FH117" s="461"/>
      <c r="FI117" s="461"/>
      <c r="FJ117" s="461"/>
      <c r="FK117" s="461"/>
      <c r="FL117" s="461"/>
      <c r="FM117" s="461"/>
      <c r="FN117" s="461"/>
      <c r="FO117" s="461"/>
      <c r="FP117" s="461">
        <v>3.7922127627676404E-2</v>
      </c>
      <c r="FQ117" s="461">
        <v>6.3082578291207114E-2</v>
      </c>
      <c r="FR117" s="461">
        <v>9.324906266789415E-2</v>
      </c>
      <c r="FS117" s="461">
        <v>9.5454900778103771E-2</v>
      </c>
      <c r="FT117" s="461">
        <v>0.13120914280751775</v>
      </c>
      <c r="FU117" s="461">
        <v>0.17057510782551169</v>
      </c>
      <c r="FV117" s="461">
        <v>0.1595791221718118</v>
      </c>
      <c r="FW117" s="461">
        <v>0.23691595032267962</v>
      </c>
      <c r="FX117" s="461">
        <v>0.27762203048727568</v>
      </c>
      <c r="FY117" s="461">
        <v>0.38489057353330108</v>
      </c>
      <c r="FZ117" s="461"/>
      <c r="GA117" s="461"/>
      <c r="GB117" s="461"/>
      <c r="GC117" s="461"/>
      <c r="GD117" s="469"/>
      <c r="GE117" s="469"/>
      <c r="GF117" s="469"/>
      <c r="GG117" s="469"/>
      <c r="GH117" s="469"/>
      <c r="GI117" s="469"/>
      <c r="GJ117" s="469">
        <v>-6.0390532787042489E-3</v>
      </c>
      <c r="GK117" s="469">
        <v>0.41050037520331956</v>
      </c>
      <c r="GL117" s="469">
        <v>2.5751175620705742</v>
      </c>
      <c r="GM117" s="458"/>
      <c r="GN117" s="464"/>
      <c r="GO117" s="470"/>
      <c r="GP117" s="468"/>
    </row>
    <row r="118" spans="1:198" x14ac:dyDescent="0.25">
      <c r="A118" s="465" t="s">
        <v>2316</v>
      </c>
      <c r="B118" s="461"/>
      <c r="C118" s="461"/>
      <c r="D118" s="461"/>
      <c r="E118" s="461"/>
      <c r="F118" s="461"/>
      <c r="G118" s="461"/>
      <c r="H118" s="461"/>
      <c r="I118" s="461"/>
      <c r="J118" s="461"/>
      <c r="K118" s="461"/>
      <c r="L118" s="461"/>
      <c r="M118" s="461"/>
      <c r="N118" s="461"/>
      <c r="O118" s="461"/>
      <c r="P118" s="461"/>
      <c r="Q118" s="461"/>
      <c r="R118" s="461"/>
      <c r="S118" s="461"/>
      <c r="T118" s="461"/>
      <c r="U118" s="461"/>
      <c r="V118" s="461">
        <v>1.0411308853297969</v>
      </c>
      <c r="W118" s="461">
        <v>0.19645057479506375</v>
      </c>
      <c r="X118" s="461">
        <v>0.41409996032707491</v>
      </c>
      <c r="Y118" s="461">
        <v>0.15289153205467582</v>
      </c>
      <c r="Z118" s="461">
        <v>1.7304290007433945</v>
      </c>
      <c r="AA118" s="461">
        <v>0.41222876894573207</v>
      </c>
      <c r="AB118" s="461"/>
      <c r="AC118" s="461"/>
      <c r="AD118" s="461">
        <v>4.4971788482795452</v>
      </c>
      <c r="AE118" s="461">
        <v>0.12104595060811214</v>
      </c>
      <c r="AF118" s="461">
        <v>0.64665314947075758</v>
      </c>
      <c r="AG118" s="461"/>
      <c r="AH118" s="461">
        <v>4.1171477058153689</v>
      </c>
      <c r="AI118" s="461">
        <v>1.5271436826157503</v>
      </c>
      <c r="AJ118" s="461"/>
      <c r="AK118" s="461">
        <v>6.7082189977519108E-3</v>
      </c>
      <c r="AL118" s="461">
        <v>0.44631451121250337</v>
      </c>
      <c r="AM118" s="461"/>
      <c r="AN118" s="461"/>
      <c r="AO118" s="461"/>
      <c r="AP118" s="461"/>
      <c r="AQ118" s="461">
        <v>4.2208138965091401E-5</v>
      </c>
      <c r="AR118" s="461">
        <v>5.646934998424274E-3</v>
      </c>
      <c r="AS118" s="461">
        <v>0.11613342213013596</v>
      </c>
      <c r="AT118" s="461">
        <v>1.0452007991712238</v>
      </c>
      <c r="AU118" s="461">
        <v>0.54543332361093722</v>
      </c>
      <c r="AV118" s="461"/>
      <c r="AW118" s="461">
        <v>1.6839288545990639E-4</v>
      </c>
      <c r="AX118" s="461">
        <v>0.14962615450197145</v>
      </c>
      <c r="AY118" s="461"/>
      <c r="AZ118" s="461"/>
      <c r="BA118" s="461"/>
      <c r="BB118" s="461"/>
      <c r="BC118" s="461"/>
      <c r="BD118" s="461"/>
      <c r="BE118" s="461"/>
      <c r="BF118" s="461"/>
      <c r="BG118" s="461"/>
      <c r="BH118" s="461"/>
      <c r="BI118" s="461"/>
      <c r="BJ118" s="461">
        <v>1.513240273564207</v>
      </c>
      <c r="BK118" s="480">
        <v>1.6847177567692388E-2</v>
      </c>
      <c r="BL118" s="461"/>
      <c r="BM118" s="461"/>
      <c r="BN118" s="461">
        <v>1.583519268577428</v>
      </c>
      <c r="BO118" s="461">
        <v>0.46645509471613089</v>
      </c>
      <c r="BP118" s="461">
        <v>7.6309688052094609E-3</v>
      </c>
      <c r="BQ118" s="461">
        <v>2.5519103252817713E-2</v>
      </c>
      <c r="BR118" s="461">
        <v>4.6226550985696861E-3</v>
      </c>
      <c r="BS118" s="461">
        <v>4.2587604457021257E-3</v>
      </c>
      <c r="BT118" s="461"/>
      <c r="BU118" s="461">
        <v>1.1041741417069919E-2</v>
      </c>
      <c r="BV118" s="461">
        <v>6.2261986810933029E-3</v>
      </c>
      <c r="BW118" s="461"/>
      <c r="BX118" s="461">
        <v>2.7614558503660747</v>
      </c>
      <c r="BY118" s="461">
        <v>0.29342507384231015</v>
      </c>
      <c r="BZ118" s="461">
        <v>0.93957052113300465</v>
      </c>
      <c r="CA118" s="461"/>
      <c r="CB118" s="461"/>
      <c r="CC118" s="461"/>
      <c r="CD118" s="461"/>
      <c r="CE118" s="461"/>
      <c r="CF118" s="461"/>
      <c r="CG118" s="461"/>
      <c r="CH118" s="461"/>
      <c r="CI118" s="461"/>
      <c r="CJ118" s="461"/>
      <c r="CK118" s="461"/>
      <c r="CL118" s="461"/>
      <c r="CM118" s="461"/>
      <c r="CN118" s="461"/>
      <c r="CO118" s="461"/>
      <c r="CP118" s="461"/>
      <c r="CQ118" s="461"/>
      <c r="CR118" s="461"/>
      <c r="CS118" s="461"/>
      <c r="CT118" s="461"/>
      <c r="CU118" s="461"/>
      <c r="CV118" s="461"/>
      <c r="CW118" s="461"/>
      <c r="CX118" s="461"/>
      <c r="CY118" s="461"/>
      <c r="CZ118" s="461"/>
      <c r="DA118" s="461"/>
      <c r="DB118" s="461"/>
      <c r="DC118" s="461"/>
      <c r="DD118" s="461"/>
      <c r="DE118" s="461"/>
      <c r="DF118" s="461"/>
      <c r="DG118" s="461"/>
      <c r="DH118" s="461"/>
      <c r="DI118" s="461"/>
      <c r="DJ118" s="461"/>
      <c r="DK118" s="461"/>
      <c r="DL118" s="461"/>
      <c r="DM118" s="461"/>
      <c r="DN118" s="461"/>
      <c r="DO118" s="461"/>
      <c r="DP118" s="461"/>
      <c r="DQ118" s="461"/>
      <c r="DR118" s="461"/>
      <c r="DS118" s="461"/>
      <c r="DT118" s="461"/>
      <c r="DU118" s="461"/>
      <c r="DV118" s="461"/>
      <c r="DW118" s="461"/>
      <c r="DX118" s="461"/>
      <c r="DY118" s="461"/>
      <c r="DZ118" s="461"/>
      <c r="EA118" s="461"/>
      <c r="EB118" s="461"/>
      <c r="EC118" s="461"/>
      <c r="ED118" s="461"/>
      <c r="EE118" s="461"/>
      <c r="EF118" s="461"/>
      <c r="EG118" s="461"/>
      <c r="EH118" s="461"/>
      <c r="EI118" s="461"/>
      <c r="EJ118" s="461"/>
      <c r="EK118" s="461"/>
      <c r="EL118" s="461"/>
      <c r="EM118" s="461"/>
      <c r="EN118" s="461"/>
      <c r="EO118" s="461"/>
      <c r="EP118" s="461"/>
      <c r="EQ118" s="461"/>
      <c r="ER118" s="461"/>
      <c r="ES118" s="461"/>
      <c r="ET118" s="461"/>
      <c r="EU118" s="461"/>
      <c r="EV118" s="461"/>
      <c r="EW118" s="461"/>
      <c r="EX118" s="461"/>
      <c r="EY118" s="461"/>
      <c r="EZ118" s="461"/>
      <c r="FA118" s="461"/>
      <c r="FB118" s="461"/>
      <c r="FC118" s="461"/>
      <c r="FD118" s="461"/>
      <c r="FE118" s="461"/>
      <c r="FF118" s="461"/>
      <c r="FG118" s="461"/>
      <c r="FH118" s="461"/>
      <c r="FI118" s="461"/>
      <c r="FJ118" s="461"/>
      <c r="FK118" s="461"/>
      <c r="FL118" s="461"/>
      <c r="FM118" s="461"/>
      <c r="FN118" s="461"/>
      <c r="FO118" s="461"/>
      <c r="FP118" s="461">
        <v>1.3770699001009161</v>
      </c>
      <c r="FQ118" s="461">
        <v>1.8848242900500385</v>
      </c>
      <c r="FR118" s="461">
        <v>2.2926688059372502</v>
      </c>
      <c r="FS118" s="461">
        <v>2.5071299853442199</v>
      </c>
      <c r="FT118" s="461">
        <v>2.6536486790165807</v>
      </c>
      <c r="FU118" s="461">
        <v>2.6355319554568006</v>
      </c>
      <c r="FV118" s="461">
        <v>2.4179458693109455</v>
      </c>
      <c r="FW118" s="461">
        <v>3.6046650224676418</v>
      </c>
      <c r="FX118" s="461">
        <v>4.2163934028588681</v>
      </c>
      <c r="FY118" s="461">
        <v>6.8845097020248058</v>
      </c>
      <c r="FZ118" s="461"/>
      <c r="GA118" s="461"/>
      <c r="GB118" s="461"/>
      <c r="GC118" s="461"/>
      <c r="GD118" s="469"/>
      <c r="GE118" s="469"/>
      <c r="GF118" s="469"/>
      <c r="GG118" s="469"/>
      <c r="GH118" s="469"/>
      <c r="GI118" s="469"/>
      <c r="GJ118" s="469">
        <v>-0.1749451835510375</v>
      </c>
      <c r="GK118" s="469">
        <v>9.0949638224332094</v>
      </c>
      <c r="GL118" s="469">
        <v>64.199892963550198</v>
      </c>
      <c r="GM118" s="458"/>
      <c r="GN118" s="464"/>
      <c r="GO118" s="470"/>
      <c r="GP118" s="468"/>
    </row>
    <row r="119" spans="1:198" x14ac:dyDescent="0.25">
      <c r="A119" s="465" t="s">
        <v>1591</v>
      </c>
      <c r="B119" s="461"/>
      <c r="C119" s="461"/>
      <c r="D119" s="461"/>
      <c r="E119" s="461"/>
      <c r="F119" s="461"/>
      <c r="G119" s="461"/>
      <c r="H119" s="461"/>
      <c r="I119" s="461"/>
      <c r="J119" s="461"/>
      <c r="K119" s="461"/>
      <c r="L119" s="461"/>
      <c r="M119" s="461"/>
      <c r="N119" s="461"/>
      <c r="O119" s="461"/>
      <c r="P119" s="461">
        <v>1.0630309041208077</v>
      </c>
      <c r="Q119" s="461">
        <v>6.0659188457155754E-2</v>
      </c>
      <c r="R119" s="461">
        <v>7.8828069315090322E-3</v>
      </c>
      <c r="S119" s="461">
        <v>0.26445550401589202</v>
      </c>
      <c r="T119" s="461">
        <v>5.568404273353722E-2</v>
      </c>
      <c r="U119" s="461">
        <v>0.47623692460266354</v>
      </c>
      <c r="V119" s="461"/>
      <c r="W119" s="461">
        <v>2.9822280292616171E-4</v>
      </c>
      <c r="X119" s="461">
        <v>0.23691326231735474</v>
      </c>
      <c r="Y119" s="461">
        <v>1.6914041107514034E-2</v>
      </c>
      <c r="Z119" s="461">
        <v>0.35288083010267746</v>
      </c>
      <c r="AA119" s="461">
        <v>8.8598973122828422E-3</v>
      </c>
      <c r="AB119" s="461">
        <v>4.6400906902874959E-3</v>
      </c>
      <c r="AC119" s="461"/>
      <c r="AD119" s="461">
        <v>1.8620727188792211E-3</v>
      </c>
      <c r="AE119" s="461">
        <v>3.4883525756859097E-3</v>
      </c>
      <c r="AF119" s="461">
        <v>6.6630680504814006E-3</v>
      </c>
      <c r="AG119" s="461"/>
      <c r="AH119" s="461">
        <v>0.12013254077222475</v>
      </c>
      <c r="AI119" s="461">
        <v>21.739870056634061</v>
      </c>
      <c r="AJ119" s="461"/>
      <c r="AK119" s="461"/>
      <c r="AL119" s="461"/>
      <c r="AM119" s="461"/>
      <c r="AN119" s="461"/>
      <c r="AO119" s="461"/>
      <c r="AP119" s="461"/>
      <c r="AQ119" s="461"/>
      <c r="AR119" s="461">
        <v>2.2930863120539429E-5</v>
      </c>
      <c r="AS119" s="461">
        <v>4.7159027106369545E-4</v>
      </c>
      <c r="AT119" s="461">
        <v>4.244312439573259E-3</v>
      </c>
      <c r="AU119" s="461">
        <v>9.2202070885376959E-4</v>
      </c>
      <c r="AV119" s="461"/>
      <c r="AW119" s="461"/>
      <c r="AX119" s="461"/>
      <c r="AY119" s="461"/>
      <c r="AZ119" s="461"/>
      <c r="BA119" s="461"/>
      <c r="BB119" s="461"/>
      <c r="BC119" s="461"/>
      <c r="BD119" s="461"/>
      <c r="BE119" s="461"/>
      <c r="BF119" s="461"/>
      <c r="BG119" s="461"/>
      <c r="BH119" s="461"/>
      <c r="BI119" s="461"/>
      <c r="BJ119" s="461">
        <v>1.1625216581923385E-2</v>
      </c>
      <c r="BK119" s="480"/>
      <c r="BL119" s="461"/>
      <c r="BM119" s="461"/>
      <c r="BN119" s="461"/>
      <c r="BO119" s="461">
        <v>29.442555634756339</v>
      </c>
      <c r="BP119" s="461">
        <v>1.2406036007962293</v>
      </c>
      <c r="BQ119" s="461">
        <v>4.1712088266311094</v>
      </c>
      <c r="BR119" s="461">
        <v>0.73330035183560871</v>
      </c>
      <c r="BS119" s="461">
        <v>0.67478603132616088</v>
      </c>
      <c r="BT119" s="461"/>
      <c r="BU119" s="461">
        <v>1.8016849895906404</v>
      </c>
      <c r="BV119" s="461">
        <v>0.18617080238708131</v>
      </c>
      <c r="BW119" s="461"/>
      <c r="BX119" s="461">
        <v>0.2252361598477865</v>
      </c>
      <c r="BY119" s="461">
        <v>4.6569082242780091</v>
      </c>
      <c r="BZ119" s="461">
        <v>12.800879899719224</v>
      </c>
      <c r="CA119" s="461"/>
      <c r="CB119" s="461"/>
      <c r="CC119" s="461"/>
      <c r="CD119" s="461"/>
      <c r="CE119" s="461"/>
      <c r="CF119" s="461"/>
      <c r="CG119" s="461"/>
      <c r="CH119" s="461"/>
      <c r="CI119" s="461"/>
      <c r="CJ119" s="461"/>
      <c r="CK119" s="461"/>
      <c r="CL119" s="461"/>
      <c r="CM119" s="461"/>
      <c r="CN119" s="461"/>
      <c r="CO119" s="461"/>
      <c r="CP119" s="461"/>
      <c r="CQ119" s="461"/>
      <c r="CR119" s="461"/>
      <c r="CS119" s="461"/>
      <c r="CT119" s="461"/>
      <c r="CU119" s="461"/>
      <c r="CV119" s="461"/>
      <c r="CW119" s="461"/>
      <c r="CX119" s="461"/>
      <c r="CY119" s="461"/>
      <c r="CZ119" s="461"/>
      <c r="DA119" s="461"/>
      <c r="DB119" s="461"/>
      <c r="DC119" s="461"/>
      <c r="DD119" s="461"/>
      <c r="DE119" s="461"/>
      <c r="DF119" s="461"/>
      <c r="DG119" s="461"/>
      <c r="DH119" s="461"/>
      <c r="DI119" s="461"/>
      <c r="DJ119" s="461"/>
      <c r="DK119" s="461"/>
      <c r="DL119" s="461"/>
      <c r="DM119" s="461"/>
      <c r="DN119" s="461"/>
      <c r="DO119" s="461"/>
      <c r="DP119" s="461"/>
      <c r="DQ119" s="461"/>
      <c r="DR119" s="461"/>
      <c r="DS119" s="461"/>
      <c r="DT119" s="461"/>
      <c r="DU119" s="461"/>
      <c r="DV119" s="461"/>
      <c r="DW119" s="461"/>
      <c r="DX119" s="461"/>
      <c r="DY119" s="461"/>
      <c r="DZ119" s="461"/>
      <c r="EA119" s="461"/>
      <c r="EB119" s="461"/>
      <c r="EC119" s="461"/>
      <c r="ED119" s="461"/>
      <c r="EE119" s="461"/>
      <c r="EF119" s="461"/>
      <c r="EG119" s="461"/>
      <c r="EH119" s="461"/>
      <c r="EI119" s="461"/>
      <c r="EJ119" s="461"/>
      <c r="EK119" s="461"/>
      <c r="EL119" s="461"/>
      <c r="EM119" s="461"/>
      <c r="EN119" s="461"/>
      <c r="EO119" s="461"/>
      <c r="EP119" s="461"/>
      <c r="EQ119" s="461"/>
      <c r="ER119" s="461"/>
      <c r="ES119" s="461"/>
      <c r="ET119" s="461"/>
      <c r="EU119" s="461"/>
      <c r="EV119" s="461"/>
      <c r="EW119" s="461"/>
      <c r="EX119" s="461"/>
      <c r="EY119" s="461"/>
      <c r="EZ119" s="461"/>
      <c r="FA119" s="461"/>
      <c r="FB119" s="461"/>
      <c r="FC119" s="461"/>
      <c r="FD119" s="461"/>
      <c r="FE119" s="461"/>
      <c r="FF119" s="461"/>
      <c r="FG119" s="461"/>
      <c r="FH119" s="461"/>
      <c r="FI119" s="461"/>
      <c r="FJ119" s="461"/>
      <c r="FK119" s="461"/>
      <c r="FL119" s="461"/>
      <c r="FM119" s="461"/>
      <c r="FN119" s="461"/>
      <c r="FO119" s="461"/>
      <c r="FP119" s="461">
        <v>3.934566411209103</v>
      </c>
      <c r="FQ119" s="461">
        <v>6.1457179409157447</v>
      </c>
      <c r="FR119" s="461">
        <v>8.279069792316978</v>
      </c>
      <c r="FS119" s="461">
        <v>11.475454824289129</v>
      </c>
      <c r="FT119" s="461">
        <v>13.822048358271656</v>
      </c>
      <c r="FU119" s="461">
        <v>18.945551732960997</v>
      </c>
      <c r="FV119" s="461">
        <v>19.227823528311216</v>
      </c>
      <c r="FW119" s="461">
        <v>23.268499638451406</v>
      </c>
      <c r="FX119" s="461">
        <v>28.268341242116541</v>
      </c>
      <c r="FY119" s="461">
        <v>37.55822087361917</v>
      </c>
      <c r="FZ119" s="461"/>
      <c r="GA119" s="461"/>
      <c r="GB119" s="461"/>
      <c r="GC119" s="461"/>
      <c r="GD119" s="469"/>
      <c r="GE119" s="469"/>
      <c r="GF119" s="469"/>
      <c r="GG119" s="469"/>
      <c r="GH119" s="469"/>
      <c r="GI119" s="469"/>
      <c r="GJ119" s="469">
        <v>-0.7147715077084309</v>
      </c>
      <c r="GK119" s="469">
        <v>38.839365744820192</v>
      </c>
      <c r="GL119" s="469">
        <v>289.42098097755235</v>
      </c>
      <c r="GM119" s="458"/>
      <c r="GN119" s="464"/>
      <c r="GO119" s="470"/>
      <c r="GP119" s="468"/>
    </row>
    <row r="120" spans="1:198" x14ac:dyDescent="0.25">
      <c r="A120" s="465" t="s">
        <v>1590</v>
      </c>
      <c r="B120" s="461">
        <v>3.3498457400699171E-2</v>
      </c>
      <c r="C120" s="461">
        <v>0.13149556924186193</v>
      </c>
      <c r="D120" s="461">
        <v>5.6409718220458774E-3</v>
      </c>
      <c r="E120" s="461">
        <v>9.5456955678279873E-2</v>
      </c>
      <c r="F120" s="461">
        <v>0.37394630635609177</v>
      </c>
      <c r="G120" s="461">
        <v>0.1267700552199198</v>
      </c>
      <c r="H120" s="461">
        <v>4.5840987231067935E-2</v>
      </c>
      <c r="I120" s="461">
        <v>5.8476148206636297E-2</v>
      </c>
      <c r="J120" s="461">
        <v>5.2785509675155433E-3</v>
      </c>
      <c r="K120" s="461">
        <v>5.8501452048888722E-2</v>
      </c>
      <c r="L120" s="461">
        <v>1.3788231005563183E-2</v>
      </c>
      <c r="M120" s="461">
        <v>3.6424669812757278E-2</v>
      </c>
      <c r="N120" s="461">
        <v>0.29586368684106279</v>
      </c>
      <c r="O120" s="461">
        <v>3.5612613092820017E-2</v>
      </c>
      <c r="P120" s="461">
        <v>0.11876521336871858</v>
      </c>
      <c r="Q120" s="461">
        <v>7.8892754086205621E-2</v>
      </c>
      <c r="R120" s="461">
        <v>3.3242744276699926E-3</v>
      </c>
      <c r="S120" s="461">
        <v>0.33624720186039664</v>
      </c>
      <c r="T120" s="461">
        <v>0.33519640662643752</v>
      </c>
      <c r="U120" s="461">
        <v>0.2008348350688034</v>
      </c>
      <c r="V120" s="461"/>
      <c r="W120" s="461"/>
      <c r="X120" s="461"/>
      <c r="Y120" s="461">
        <v>7.1055177619502946E-2</v>
      </c>
      <c r="Z120" s="461"/>
      <c r="AA120" s="461"/>
      <c r="AB120" s="461"/>
      <c r="AC120" s="461"/>
      <c r="AD120" s="461"/>
      <c r="AE120" s="461"/>
      <c r="AF120" s="461"/>
      <c r="AG120" s="461"/>
      <c r="AH120" s="461"/>
      <c r="AI120" s="461">
        <v>0.56498642009485267</v>
      </c>
      <c r="AJ120" s="461">
        <v>12.347876235148281</v>
      </c>
      <c r="AK120" s="461">
        <v>16.851804340928471</v>
      </c>
      <c r="AL120" s="461">
        <v>3.5906502547372668E-2</v>
      </c>
      <c r="AM120" s="461">
        <v>0.55751082345084191</v>
      </c>
      <c r="AN120" s="461">
        <v>0.11766862477035361</v>
      </c>
      <c r="AO120" s="461">
        <v>1.195743588617431</v>
      </c>
      <c r="AP120" s="461">
        <v>1.0642158902039827</v>
      </c>
      <c r="AQ120" s="461">
        <v>4.3745602688467028E-2</v>
      </c>
      <c r="AR120" s="461">
        <v>1.3715648203679485E-4</v>
      </c>
      <c r="AS120" s="461">
        <v>2.8207251598802176E-3</v>
      </c>
      <c r="AT120" s="461">
        <v>2.5386526438921964E-2</v>
      </c>
      <c r="AU120" s="461">
        <v>1.5573344524170805</v>
      </c>
      <c r="AV120" s="461">
        <v>1.4184346431192689</v>
      </c>
      <c r="AW120" s="461">
        <v>0.19366249692179635</v>
      </c>
      <c r="AX120" s="461">
        <v>0.16913612715205553</v>
      </c>
      <c r="AY120" s="461"/>
      <c r="AZ120" s="461"/>
      <c r="BA120" s="461">
        <v>0.26452944740164297</v>
      </c>
      <c r="BB120" s="461">
        <v>0.21415559319570907</v>
      </c>
      <c r="BC120" s="461">
        <v>8.1853435573205568E-4</v>
      </c>
      <c r="BD120" s="461">
        <v>2.0137447716372247E-4</v>
      </c>
      <c r="BE120" s="461">
        <v>6.7814082111128979E-2</v>
      </c>
      <c r="BF120" s="461">
        <v>0.17106950732947176</v>
      </c>
      <c r="BG120" s="461">
        <v>3.4580781950138841</v>
      </c>
      <c r="BH120" s="461">
        <v>3.7019076730822928E-2</v>
      </c>
      <c r="BI120" s="461">
        <v>1.0269381233291179</v>
      </c>
      <c r="BJ120" s="461">
        <v>0.61904374095619563</v>
      </c>
      <c r="BK120" s="480"/>
      <c r="BL120" s="461"/>
      <c r="BM120" s="461">
        <v>3.4242699385658484</v>
      </c>
      <c r="BN120" s="461"/>
      <c r="BO120" s="461">
        <v>0.11937473205798244</v>
      </c>
      <c r="BP120" s="461">
        <v>0.19272351760227213</v>
      </c>
      <c r="BQ120" s="461">
        <v>0.64500020435392402</v>
      </c>
      <c r="BR120" s="461">
        <v>0.1162220766245162</v>
      </c>
      <c r="BS120" s="461">
        <v>0.10705502550797986</v>
      </c>
      <c r="BT120" s="461"/>
      <c r="BU120" s="461">
        <v>0.27879324473902145</v>
      </c>
      <c r="BV120" s="461">
        <v>1.8034769363061937E-2</v>
      </c>
      <c r="BW120" s="461">
        <v>1.4216454170520346E-2</v>
      </c>
      <c r="BX120" s="461">
        <v>0.11057661204057738</v>
      </c>
      <c r="BY120" s="461">
        <v>1.0476259510090948</v>
      </c>
      <c r="BZ120" s="461">
        <v>3.0560882035298191</v>
      </c>
      <c r="CA120" s="461"/>
      <c r="CB120" s="461"/>
      <c r="CC120" s="461"/>
      <c r="CD120" s="461"/>
      <c r="CE120" s="461"/>
      <c r="CF120" s="461"/>
      <c r="CG120" s="461"/>
      <c r="CH120" s="461"/>
      <c r="CI120" s="461"/>
      <c r="CJ120" s="461"/>
      <c r="CK120" s="461"/>
      <c r="CL120" s="461"/>
      <c r="CM120" s="461"/>
      <c r="CN120" s="461"/>
      <c r="CO120" s="461"/>
      <c r="CP120" s="461"/>
      <c r="CQ120" s="461"/>
      <c r="CR120" s="461"/>
      <c r="CS120" s="461"/>
      <c r="CT120" s="461"/>
      <c r="CU120" s="461"/>
      <c r="CV120" s="461"/>
      <c r="CW120" s="461"/>
      <c r="CX120" s="461"/>
      <c r="CY120" s="461"/>
      <c r="CZ120" s="461"/>
      <c r="DA120" s="461"/>
      <c r="DB120" s="461"/>
      <c r="DC120" s="461"/>
      <c r="DD120" s="461"/>
      <c r="DE120" s="461"/>
      <c r="DF120" s="461"/>
      <c r="DG120" s="461"/>
      <c r="DH120" s="461"/>
      <c r="DI120" s="461"/>
      <c r="DJ120" s="461"/>
      <c r="DK120" s="461"/>
      <c r="DL120" s="461"/>
      <c r="DM120" s="461"/>
      <c r="DN120" s="461"/>
      <c r="DO120" s="461"/>
      <c r="DP120" s="461"/>
      <c r="DQ120" s="461"/>
      <c r="DR120" s="461"/>
      <c r="DS120" s="461"/>
      <c r="DT120" s="461"/>
      <c r="DU120" s="461"/>
      <c r="DV120" s="461"/>
      <c r="DW120" s="461"/>
      <c r="DX120" s="461"/>
      <c r="DY120" s="461"/>
      <c r="DZ120" s="461"/>
      <c r="EA120" s="461"/>
      <c r="EB120" s="461"/>
      <c r="EC120" s="461"/>
      <c r="ED120" s="461"/>
      <c r="EE120" s="461"/>
      <c r="EF120" s="461"/>
      <c r="EG120" s="461"/>
      <c r="EH120" s="461"/>
      <c r="EI120" s="461"/>
      <c r="EJ120" s="461"/>
      <c r="EK120" s="461"/>
      <c r="EL120" s="461"/>
      <c r="EM120" s="461"/>
      <c r="EN120" s="461"/>
      <c r="EO120" s="461"/>
      <c r="EP120" s="461"/>
      <c r="EQ120" s="461"/>
      <c r="ER120" s="461"/>
      <c r="ES120" s="461"/>
      <c r="ET120" s="461"/>
      <c r="EU120" s="461"/>
      <c r="EV120" s="461"/>
      <c r="EW120" s="461"/>
      <c r="EX120" s="461"/>
      <c r="EY120" s="461"/>
      <c r="EZ120" s="461"/>
      <c r="FA120" s="461"/>
      <c r="FB120" s="461"/>
      <c r="FC120" s="461"/>
      <c r="FD120" s="461"/>
      <c r="FE120" s="461"/>
      <c r="FF120" s="461"/>
      <c r="FG120" s="461"/>
      <c r="FH120" s="461"/>
      <c r="FI120" s="461"/>
      <c r="FJ120" s="461"/>
      <c r="FK120" s="461"/>
      <c r="FL120" s="461"/>
      <c r="FM120" s="461"/>
      <c r="FN120" s="461"/>
      <c r="FO120" s="461"/>
      <c r="FP120" s="461">
        <v>0.60662002981500818</v>
      </c>
      <c r="FQ120" s="461">
        <v>0.77573639360946434</v>
      </c>
      <c r="FR120" s="461">
        <v>1.0657815373904242</v>
      </c>
      <c r="FS120" s="461">
        <v>1.09015733105122</v>
      </c>
      <c r="FT120" s="461">
        <v>1.3482965816205128</v>
      </c>
      <c r="FU120" s="461">
        <v>1.4849373484632178</v>
      </c>
      <c r="FV120" s="461">
        <v>2.148353975276609</v>
      </c>
      <c r="FW120" s="461">
        <v>2.6226696432233929</v>
      </c>
      <c r="FX120" s="461">
        <v>3.521985022706589</v>
      </c>
      <c r="FY120" s="461">
        <v>7.7324101093272803</v>
      </c>
      <c r="FZ120" s="461"/>
      <c r="GA120" s="461"/>
      <c r="GB120" s="461"/>
      <c r="GC120" s="461"/>
      <c r="GD120" s="469"/>
      <c r="GE120" s="469"/>
      <c r="GF120" s="469"/>
      <c r="GG120" s="469"/>
      <c r="GH120" s="469">
        <v>3.1349823115296535E-2</v>
      </c>
      <c r="GI120" s="469">
        <v>1.1186938430203469E-3</v>
      </c>
      <c r="GJ120" s="469">
        <v>-0.16225883035660374</v>
      </c>
      <c r="GK120" s="469">
        <v>8.3649428827287569</v>
      </c>
      <c r="GL120" s="469">
        <v>84.229029620403693</v>
      </c>
      <c r="GM120" s="458"/>
      <c r="GN120" s="464"/>
      <c r="GO120" s="470"/>
      <c r="GP120" s="468"/>
    </row>
    <row r="121" spans="1:198" x14ac:dyDescent="0.25">
      <c r="A121" s="465" t="s">
        <v>1589</v>
      </c>
      <c r="B121" s="461"/>
      <c r="C121" s="461"/>
      <c r="D121" s="461"/>
      <c r="E121" s="461"/>
      <c r="F121" s="461"/>
      <c r="G121" s="461"/>
      <c r="H121" s="461"/>
      <c r="I121" s="461"/>
      <c r="J121" s="461"/>
      <c r="K121" s="461"/>
      <c r="L121" s="461"/>
      <c r="M121" s="461"/>
      <c r="N121" s="461"/>
      <c r="O121" s="461"/>
      <c r="P121" s="461">
        <v>0.38050767716017303</v>
      </c>
      <c r="Q121" s="461">
        <v>0.1599889252698744</v>
      </c>
      <c r="R121" s="461">
        <v>7.0036390794731519E-3</v>
      </c>
      <c r="S121" s="461">
        <v>0.66391094987426913</v>
      </c>
      <c r="T121" s="461">
        <v>0.62968336534156644</v>
      </c>
      <c r="U121" s="461">
        <v>0.42312231736935585</v>
      </c>
      <c r="V121" s="461"/>
      <c r="W121" s="461"/>
      <c r="X121" s="461"/>
      <c r="Y121" s="461"/>
      <c r="Z121" s="461"/>
      <c r="AA121" s="461"/>
      <c r="AB121" s="461"/>
      <c r="AC121" s="461"/>
      <c r="AD121" s="461"/>
      <c r="AE121" s="461"/>
      <c r="AF121" s="461"/>
      <c r="AG121" s="461"/>
      <c r="AH121" s="461"/>
      <c r="AI121" s="461"/>
      <c r="AJ121" s="461">
        <v>2.0806406238294004</v>
      </c>
      <c r="AK121" s="461">
        <v>1.5788887381994086</v>
      </c>
      <c r="AL121" s="461">
        <v>7.876437142138791E-2</v>
      </c>
      <c r="AM121" s="461">
        <v>2.903374888351222E-2</v>
      </c>
      <c r="AN121" s="461"/>
      <c r="AO121" s="461"/>
      <c r="AP121" s="461"/>
      <c r="AQ121" s="461"/>
      <c r="AR121" s="461"/>
      <c r="AS121" s="461"/>
      <c r="AT121" s="461"/>
      <c r="AU121" s="461">
        <v>0.21599928816565572</v>
      </c>
      <c r="AV121" s="461"/>
      <c r="AW121" s="461">
        <v>2.7857637449820626E-2</v>
      </c>
      <c r="AX121" s="461"/>
      <c r="AY121" s="461"/>
      <c r="AZ121" s="461"/>
      <c r="BA121" s="461"/>
      <c r="BB121" s="461"/>
      <c r="BC121" s="461"/>
      <c r="BD121" s="461"/>
      <c r="BE121" s="461"/>
      <c r="BF121" s="461">
        <v>5.3283312686159219E-2</v>
      </c>
      <c r="BG121" s="461"/>
      <c r="BH121" s="461"/>
      <c r="BI121" s="461"/>
      <c r="BJ121" s="461">
        <v>5.1685491728972355E-2</v>
      </c>
      <c r="BK121" s="480">
        <v>0.17319554705277387</v>
      </c>
      <c r="BL121" s="461"/>
      <c r="BM121" s="461"/>
      <c r="BN121" s="461">
        <v>5.1490825934145334</v>
      </c>
      <c r="BO121" s="461">
        <v>5.6594185606533905E-2</v>
      </c>
      <c r="BP121" s="461">
        <v>8.6366233884034541E-2</v>
      </c>
      <c r="BQ121" s="461">
        <v>0.28892065593243804</v>
      </c>
      <c r="BR121" s="461">
        <v>5.2233514403869599E-2</v>
      </c>
      <c r="BS121" s="461">
        <v>4.8118242655480238E-2</v>
      </c>
      <c r="BT121" s="461"/>
      <c r="BU121" s="461">
        <v>0.12498799436176483</v>
      </c>
      <c r="BV121" s="461">
        <v>8.0883444350823251E-3</v>
      </c>
      <c r="BW121" s="461">
        <v>7.9197725316969524E-3</v>
      </c>
      <c r="BX121" s="461">
        <v>0.7458499773659214</v>
      </c>
      <c r="BY121" s="461">
        <v>2.0543336354191881</v>
      </c>
      <c r="BZ121" s="461">
        <v>1.2171914887838953</v>
      </c>
      <c r="CA121" s="461"/>
      <c r="CB121" s="461"/>
      <c r="CC121" s="461"/>
      <c r="CD121" s="461"/>
      <c r="CE121" s="461"/>
      <c r="CF121" s="461"/>
      <c r="CG121" s="461"/>
      <c r="CH121" s="461"/>
      <c r="CI121" s="461"/>
      <c r="CJ121" s="461"/>
      <c r="CK121" s="461"/>
      <c r="CL121" s="461"/>
      <c r="CM121" s="461"/>
      <c r="CN121" s="461"/>
      <c r="CO121" s="461"/>
      <c r="CP121" s="461"/>
      <c r="CQ121" s="461"/>
      <c r="CR121" s="461"/>
      <c r="CS121" s="461"/>
      <c r="CT121" s="461"/>
      <c r="CU121" s="461"/>
      <c r="CV121" s="461"/>
      <c r="CW121" s="461"/>
      <c r="CX121" s="461"/>
      <c r="CY121" s="461"/>
      <c r="CZ121" s="461"/>
      <c r="DA121" s="461"/>
      <c r="DB121" s="461"/>
      <c r="DC121" s="461"/>
      <c r="DD121" s="461"/>
      <c r="DE121" s="461"/>
      <c r="DF121" s="461"/>
      <c r="DG121" s="461"/>
      <c r="DH121" s="461"/>
      <c r="DI121" s="461"/>
      <c r="DJ121" s="461"/>
      <c r="DK121" s="461"/>
      <c r="DL121" s="461"/>
      <c r="DM121" s="461"/>
      <c r="DN121" s="461"/>
      <c r="DO121" s="461"/>
      <c r="DP121" s="461"/>
      <c r="DQ121" s="461"/>
      <c r="DR121" s="461"/>
      <c r="DS121" s="461"/>
      <c r="DT121" s="461"/>
      <c r="DU121" s="461"/>
      <c r="DV121" s="461"/>
      <c r="DW121" s="461"/>
      <c r="DX121" s="461"/>
      <c r="DY121" s="461"/>
      <c r="DZ121" s="461"/>
      <c r="EA121" s="461"/>
      <c r="EB121" s="461"/>
      <c r="EC121" s="461"/>
      <c r="ED121" s="461"/>
      <c r="EE121" s="461"/>
      <c r="EF121" s="461"/>
      <c r="EG121" s="461"/>
      <c r="EH121" s="461"/>
      <c r="EI121" s="461"/>
      <c r="EJ121" s="461"/>
      <c r="EK121" s="461"/>
      <c r="EL121" s="461"/>
      <c r="EM121" s="461"/>
      <c r="EN121" s="461"/>
      <c r="EO121" s="461"/>
      <c r="EP121" s="461"/>
      <c r="EQ121" s="461"/>
      <c r="ER121" s="461"/>
      <c r="ES121" s="461"/>
      <c r="ET121" s="461"/>
      <c r="EU121" s="461"/>
      <c r="EV121" s="461"/>
      <c r="EW121" s="461"/>
      <c r="EX121" s="461"/>
      <c r="EY121" s="461"/>
      <c r="EZ121" s="461"/>
      <c r="FA121" s="461"/>
      <c r="FB121" s="461"/>
      <c r="FC121" s="461"/>
      <c r="FD121" s="461"/>
      <c r="FE121" s="461"/>
      <c r="FF121" s="461"/>
      <c r="FG121" s="461"/>
      <c r="FH121" s="461"/>
      <c r="FI121" s="461"/>
      <c r="FJ121" s="461"/>
      <c r="FK121" s="461"/>
      <c r="FL121" s="461"/>
      <c r="FM121" s="461"/>
      <c r="FN121" s="461"/>
      <c r="FO121" s="461"/>
      <c r="FP121" s="461">
        <v>3.3378263312321197</v>
      </c>
      <c r="FQ121" s="461">
        <v>4.4531317496818472</v>
      </c>
      <c r="FR121" s="461">
        <v>5.2211902815418982</v>
      </c>
      <c r="FS121" s="461">
        <v>5.2336146584790928</v>
      </c>
      <c r="FT121" s="461">
        <v>5.4005634123334216</v>
      </c>
      <c r="FU121" s="461">
        <v>6.8401304550083575</v>
      </c>
      <c r="FV121" s="461">
        <v>7.3318212959813209</v>
      </c>
      <c r="FW121" s="461">
        <v>9.1399263802022741</v>
      </c>
      <c r="FX121" s="461">
        <v>11.72517782904997</v>
      </c>
      <c r="FY121" s="461">
        <v>14.976985243542741</v>
      </c>
      <c r="FZ121" s="461"/>
      <c r="GA121" s="461"/>
      <c r="GB121" s="461"/>
      <c r="GC121" s="461"/>
      <c r="GD121" s="469"/>
      <c r="GE121" s="469"/>
      <c r="GF121" s="469"/>
      <c r="GG121" s="469"/>
      <c r="GH121" s="469"/>
      <c r="GI121" s="469"/>
      <c r="GJ121" s="469">
        <v>-0.25577619160985993</v>
      </c>
      <c r="GK121" s="469">
        <v>5.5327768541889188</v>
      </c>
      <c r="GL121" s="469">
        <v>95.330620571938354</v>
      </c>
      <c r="GM121" s="458"/>
      <c r="GN121" s="464"/>
      <c r="GO121" s="470"/>
      <c r="GP121" s="468"/>
    </row>
    <row r="122" spans="1:198" x14ac:dyDescent="0.25">
      <c r="A122" s="465" t="s">
        <v>1588</v>
      </c>
      <c r="B122" s="461"/>
      <c r="C122" s="461"/>
      <c r="D122" s="461"/>
      <c r="E122" s="461"/>
      <c r="F122" s="461"/>
      <c r="G122" s="461"/>
      <c r="H122" s="461"/>
      <c r="I122" s="461"/>
      <c r="J122" s="461"/>
      <c r="K122" s="461"/>
      <c r="L122" s="461"/>
      <c r="M122" s="461"/>
      <c r="N122" s="461"/>
      <c r="O122" s="461"/>
      <c r="P122" s="461">
        <v>0.11406043484603282</v>
      </c>
      <c r="Q122" s="461">
        <v>2.298810122268919E-2</v>
      </c>
      <c r="R122" s="461">
        <v>7.7565913959990406E-4</v>
      </c>
      <c r="S122" s="461">
        <v>0.10634725993188855</v>
      </c>
      <c r="T122" s="461">
        <v>9.8759887865526155E-2</v>
      </c>
      <c r="U122" s="461">
        <v>4.6861165875629447E-2</v>
      </c>
      <c r="V122" s="461"/>
      <c r="W122" s="461"/>
      <c r="X122" s="461"/>
      <c r="Y122" s="461"/>
      <c r="Z122" s="461"/>
      <c r="AA122" s="461"/>
      <c r="AB122" s="461"/>
      <c r="AC122" s="461"/>
      <c r="AD122" s="461"/>
      <c r="AE122" s="461"/>
      <c r="AF122" s="461"/>
      <c r="AG122" s="461"/>
      <c r="AH122" s="461"/>
      <c r="AI122" s="461"/>
      <c r="AJ122" s="461">
        <v>1.7950339029309048</v>
      </c>
      <c r="AK122" s="461">
        <v>0.10694830379774697</v>
      </c>
      <c r="AL122" s="461">
        <v>0.48308420440078625</v>
      </c>
      <c r="AM122" s="461">
        <v>2.5499720451665078</v>
      </c>
      <c r="AN122" s="461"/>
      <c r="AO122" s="461">
        <v>9.7701832669008948E-2</v>
      </c>
      <c r="AP122" s="461">
        <v>3.9784845660170353E-3</v>
      </c>
      <c r="AQ122" s="461"/>
      <c r="AR122" s="461"/>
      <c r="AS122" s="461"/>
      <c r="AT122" s="461"/>
      <c r="AU122" s="461"/>
      <c r="AV122" s="461"/>
      <c r="AW122" s="461">
        <v>3.3912291038221791E-2</v>
      </c>
      <c r="AX122" s="461"/>
      <c r="AY122" s="461"/>
      <c r="AZ122" s="461"/>
      <c r="BA122" s="461"/>
      <c r="BB122" s="461"/>
      <c r="BC122" s="461"/>
      <c r="BD122" s="461"/>
      <c r="BE122" s="461"/>
      <c r="BF122" s="461"/>
      <c r="BG122" s="461">
        <v>6.6296137595831794</v>
      </c>
      <c r="BH122" s="461"/>
      <c r="BI122" s="461">
        <v>0.82801532321823113</v>
      </c>
      <c r="BJ122" s="461">
        <v>6.3277683682691224E-2</v>
      </c>
      <c r="BK122" s="480"/>
      <c r="BL122" s="461"/>
      <c r="BM122" s="461"/>
      <c r="BN122" s="461"/>
      <c r="BO122" s="461"/>
      <c r="BP122" s="461"/>
      <c r="BQ122" s="461"/>
      <c r="BR122" s="461"/>
      <c r="BS122" s="461"/>
      <c r="BT122" s="461"/>
      <c r="BU122" s="461"/>
      <c r="BV122" s="461"/>
      <c r="BW122" s="461"/>
      <c r="BX122" s="461">
        <v>3.831590875946513E-3</v>
      </c>
      <c r="BY122" s="461">
        <v>0.16936890432243376</v>
      </c>
      <c r="BZ122" s="461">
        <v>0.46241781504929508</v>
      </c>
      <c r="CA122" s="461"/>
      <c r="CB122" s="461"/>
      <c r="CC122" s="461"/>
      <c r="CD122" s="461"/>
      <c r="CE122" s="461"/>
      <c r="CF122" s="461"/>
      <c r="CG122" s="461"/>
      <c r="CH122" s="461"/>
      <c r="CI122" s="461"/>
      <c r="CJ122" s="461"/>
      <c r="CK122" s="461"/>
      <c r="CL122" s="461"/>
      <c r="CM122" s="461"/>
      <c r="CN122" s="461"/>
      <c r="CO122" s="461"/>
      <c r="CP122" s="461"/>
      <c r="CQ122" s="461"/>
      <c r="CR122" s="461"/>
      <c r="CS122" s="461"/>
      <c r="CT122" s="461"/>
      <c r="CU122" s="461"/>
      <c r="CV122" s="461"/>
      <c r="CW122" s="461"/>
      <c r="CX122" s="461"/>
      <c r="CY122" s="461"/>
      <c r="CZ122" s="461"/>
      <c r="DA122" s="461"/>
      <c r="DB122" s="461"/>
      <c r="DC122" s="461"/>
      <c r="DD122" s="461"/>
      <c r="DE122" s="461"/>
      <c r="DF122" s="461"/>
      <c r="DG122" s="461"/>
      <c r="DH122" s="461"/>
      <c r="DI122" s="461"/>
      <c r="DJ122" s="461"/>
      <c r="DK122" s="461"/>
      <c r="DL122" s="461"/>
      <c r="DM122" s="461"/>
      <c r="DN122" s="461"/>
      <c r="DO122" s="461"/>
      <c r="DP122" s="461"/>
      <c r="DQ122" s="461"/>
      <c r="DR122" s="461"/>
      <c r="DS122" s="461"/>
      <c r="DT122" s="461"/>
      <c r="DU122" s="461"/>
      <c r="DV122" s="461"/>
      <c r="DW122" s="461"/>
      <c r="DX122" s="461"/>
      <c r="DY122" s="461"/>
      <c r="DZ122" s="461"/>
      <c r="EA122" s="461"/>
      <c r="EB122" s="461"/>
      <c r="EC122" s="461"/>
      <c r="ED122" s="461"/>
      <c r="EE122" s="461"/>
      <c r="EF122" s="461"/>
      <c r="EG122" s="461"/>
      <c r="EH122" s="461"/>
      <c r="EI122" s="461"/>
      <c r="EJ122" s="461"/>
      <c r="EK122" s="461"/>
      <c r="EL122" s="461"/>
      <c r="EM122" s="461"/>
      <c r="EN122" s="461"/>
      <c r="EO122" s="461"/>
      <c r="EP122" s="461"/>
      <c r="EQ122" s="461"/>
      <c r="ER122" s="461"/>
      <c r="ES122" s="461"/>
      <c r="ET122" s="461"/>
      <c r="EU122" s="461"/>
      <c r="EV122" s="461"/>
      <c r="EW122" s="461"/>
      <c r="EX122" s="461"/>
      <c r="EY122" s="461"/>
      <c r="EZ122" s="461"/>
      <c r="FA122" s="461"/>
      <c r="FB122" s="461"/>
      <c r="FC122" s="461"/>
      <c r="FD122" s="461"/>
      <c r="FE122" s="461"/>
      <c r="FF122" s="461"/>
      <c r="FG122" s="461"/>
      <c r="FH122" s="461"/>
      <c r="FI122" s="461"/>
      <c r="FJ122" s="461"/>
      <c r="FK122" s="461"/>
      <c r="FL122" s="461"/>
      <c r="FM122" s="461"/>
      <c r="FN122" s="461"/>
      <c r="FO122" s="461"/>
      <c r="FP122" s="461">
        <v>0.28205527626684779</v>
      </c>
      <c r="FQ122" s="461">
        <v>0.31651688991181948</v>
      </c>
      <c r="FR122" s="461">
        <v>0.36410774426980069</v>
      </c>
      <c r="FS122" s="461">
        <v>0.30465173581033433</v>
      </c>
      <c r="FT122" s="461">
        <v>0.35669366360158056</v>
      </c>
      <c r="FU122" s="461">
        <v>0.42470785409049128</v>
      </c>
      <c r="FV122" s="461">
        <v>0.56141342811248429</v>
      </c>
      <c r="FW122" s="461">
        <v>0.54535846982909975</v>
      </c>
      <c r="FX122" s="461">
        <v>0.79455026186457289</v>
      </c>
      <c r="FY122" s="461">
        <v>1.5703286677690387</v>
      </c>
      <c r="FZ122" s="461"/>
      <c r="GA122" s="461"/>
      <c r="GB122" s="461"/>
      <c r="GC122" s="461"/>
      <c r="GD122" s="469"/>
      <c r="GE122" s="469"/>
      <c r="GF122" s="469"/>
      <c r="GG122" s="469"/>
      <c r="GH122" s="469">
        <v>3.8790820338404614E-5</v>
      </c>
      <c r="GI122" s="469">
        <v>1.3842199912479865E-6</v>
      </c>
      <c r="GJ122" s="469">
        <v>-7.9140631294714131E-2</v>
      </c>
      <c r="GK122" s="469">
        <v>7.0126185076060326</v>
      </c>
      <c r="GL122" s="469">
        <v>26.070850693060056</v>
      </c>
      <c r="GM122" s="458"/>
      <c r="GN122" s="464"/>
      <c r="GO122" s="470"/>
      <c r="GP122" s="468"/>
    </row>
    <row r="123" spans="1:198" x14ac:dyDescent="0.25">
      <c r="A123" s="465" t="s">
        <v>1587</v>
      </c>
      <c r="B123" s="461"/>
      <c r="C123" s="461"/>
      <c r="D123" s="461"/>
      <c r="E123" s="461"/>
      <c r="F123" s="461"/>
      <c r="G123" s="461"/>
      <c r="H123" s="461"/>
      <c r="I123" s="461"/>
      <c r="J123" s="461"/>
      <c r="K123" s="461"/>
      <c r="L123" s="461"/>
      <c r="M123" s="461"/>
      <c r="N123" s="461"/>
      <c r="O123" s="461"/>
      <c r="P123" s="461">
        <v>0.11429963408949169</v>
      </c>
      <c r="Q123" s="461">
        <v>0.19688591497009644</v>
      </c>
      <c r="R123" s="461">
        <v>6.7108830404120365E-3</v>
      </c>
      <c r="S123" s="461">
        <v>0.81571823680103539</v>
      </c>
      <c r="T123" s="461">
        <v>0.76690035740510298</v>
      </c>
      <c r="U123" s="461">
        <v>0.40543556734329211</v>
      </c>
      <c r="V123" s="461"/>
      <c r="W123" s="461"/>
      <c r="X123" s="461"/>
      <c r="Y123" s="461"/>
      <c r="Z123" s="461"/>
      <c r="AA123" s="461"/>
      <c r="AB123" s="461"/>
      <c r="AC123" s="461"/>
      <c r="AD123" s="461"/>
      <c r="AE123" s="461"/>
      <c r="AF123" s="461"/>
      <c r="AG123" s="461"/>
      <c r="AH123" s="461"/>
      <c r="AI123" s="461"/>
      <c r="AJ123" s="461">
        <v>1.3292674086970229E-2</v>
      </c>
      <c r="AK123" s="461">
        <v>3.9097611854361405E-2</v>
      </c>
      <c r="AL123" s="461">
        <v>8.8273311105092095E-2</v>
      </c>
      <c r="AM123" s="461">
        <v>1.9255432063861102</v>
      </c>
      <c r="AN123" s="461"/>
      <c r="AO123" s="461"/>
      <c r="AP123" s="461"/>
      <c r="AQ123" s="461"/>
      <c r="AR123" s="461"/>
      <c r="AS123" s="461"/>
      <c r="AT123" s="461"/>
      <c r="AU123" s="461"/>
      <c r="AV123" s="461"/>
      <c r="AW123" s="461"/>
      <c r="AX123" s="461"/>
      <c r="AY123" s="461"/>
      <c r="AZ123" s="461"/>
      <c r="BA123" s="461"/>
      <c r="BB123" s="461"/>
      <c r="BC123" s="461"/>
      <c r="BD123" s="461"/>
      <c r="BE123" s="461"/>
      <c r="BF123" s="461"/>
      <c r="BG123" s="461"/>
      <c r="BH123" s="461"/>
      <c r="BI123" s="461"/>
      <c r="BJ123" s="461">
        <v>5.4213287819524327E-4</v>
      </c>
      <c r="BK123" s="480"/>
      <c r="BL123" s="461">
        <v>4.5917402847437588E-2</v>
      </c>
      <c r="BM123" s="461">
        <v>1.3685819574606883</v>
      </c>
      <c r="BN123" s="461">
        <v>0.55608800767177813</v>
      </c>
      <c r="BO123" s="461"/>
      <c r="BP123" s="461"/>
      <c r="BQ123" s="461"/>
      <c r="BR123" s="461"/>
      <c r="BS123" s="461"/>
      <c r="BT123" s="461"/>
      <c r="BU123" s="461"/>
      <c r="BV123" s="461"/>
      <c r="BW123" s="461"/>
      <c r="BX123" s="461">
        <v>3.8227249553566614E-3</v>
      </c>
      <c r="BY123" s="461">
        <v>1.0629505926402221</v>
      </c>
      <c r="BZ123" s="461">
        <v>1.6819581181737355</v>
      </c>
      <c r="CA123" s="461"/>
      <c r="CB123" s="461"/>
      <c r="CC123" s="461"/>
      <c r="CD123" s="461"/>
      <c r="CE123" s="461"/>
      <c r="CF123" s="461"/>
      <c r="CG123" s="461"/>
      <c r="CH123" s="461"/>
      <c r="CI123" s="461"/>
      <c r="CJ123" s="461"/>
      <c r="CK123" s="461"/>
      <c r="CL123" s="461"/>
      <c r="CM123" s="461"/>
      <c r="CN123" s="461"/>
      <c r="CO123" s="461"/>
      <c r="CP123" s="461"/>
      <c r="CQ123" s="461"/>
      <c r="CR123" s="461"/>
      <c r="CS123" s="461"/>
      <c r="CT123" s="461"/>
      <c r="CU123" s="461"/>
      <c r="CV123" s="461"/>
      <c r="CW123" s="461"/>
      <c r="CX123" s="461"/>
      <c r="CY123" s="461"/>
      <c r="CZ123" s="461"/>
      <c r="DA123" s="461"/>
      <c r="DB123" s="461"/>
      <c r="DC123" s="461"/>
      <c r="DD123" s="461"/>
      <c r="DE123" s="461"/>
      <c r="DF123" s="461"/>
      <c r="DG123" s="461"/>
      <c r="DH123" s="461"/>
      <c r="DI123" s="461"/>
      <c r="DJ123" s="461"/>
      <c r="DK123" s="461"/>
      <c r="DL123" s="461"/>
      <c r="DM123" s="461"/>
      <c r="DN123" s="461"/>
      <c r="DO123" s="461"/>
      <c r="DP123" s="461"/>
      <c r="DQ123" s="461"/>
      <c r="DR123" s="461"/>
      <c r="DS123" s="461"/>
      <c r="DT123" s="461"/>
      <c r="DU123" s="461"/>
      <c r="DV123" s="461"/>
      <c r="DW123" s="461"/>
      <c r="DX123" s="461"/>
      <c r="DY123" s="461"/>
      <c r="DZ123" s="461"/>
      <c r="EA123" s="461"/>
      <c r="EB123" s="461"/>
      <c r="EC123" s="461"/>
      <c r="ED123" s="461"/>
      <c r="EE123" s="461"/>
      <c r="EF123" s="461"/>
      <c r="EG123" s="461"/>
      <c r="EH123" s="461"/>
      <c r="EI123" s="461"/>
      <c r="EJ123" s="461"/>
      <c r="EK123" s="461"/>
      <c r="EL123" s="461"/>
      <c r="EM123" s="461"/>
      <c r="EN123" s="461"/>
      <c r="EO123" s="461"/>
      <c r="EP123" s="461"/>
      <c r="EQ123" s="461"/>
      <c r="ER123" s="461"/>
      <c r="ES123" s="461"/>
      <c r="ET123" s="461"/>
      <c r="EU123" s="461"/>
      <c r="EV123" s="461"/>
      <c r="EW123" s="461"/>
      <c r="EX123" s="461"/>
      <c r="EY123" s="461"/>
      <c r="EZ123" s="461"/>
      <c r="FA123" s="461"/>
      <c r="FB123" s="461"/>
      <c r="FC123" s="461"/>
      <c r="FD123" s="461"/>
      <c r="FE123" s="461"/>
      <c r="FF123" s="461"/>
      <c r="FG123" s="461"/>
      <c r="FH123" s="461"/>
      <c r="FI123" s="461"/>
      <c r="FJ123" s="461"/>
      <c r="FK123" s="461"/>
      <c r="FL123" s="461"/>
      <c r="FM123" s="461"/>
      <c r="FN123" s="461"/>
      <c r="FO123" s="461"/>
      <c r="FP123" s="461">
        <v>1.2234267104261853</v>
      </c>
      <c r="FQ123" s="461">
        <v>1.6391814977180708</v>
      </c>
      <c r="FR123" s="461">
        <v>1.9833560024537173</v>
      </c>
      <c r="FS123" s="461">
        <v>1.9846457869116261</v>
      </c>
      <c r="FT123" s="461">
        <v>2.1020530504146522</v>
      </c>
      <c r="FU123" s="461">
        <v>2.4105034197797579</v>
      </c>
      <c r="FV123" s="461">
        <v>2.7471157526564323</v>
      </c>
      <c r="FW123" s="461">
        <v>3.3195844329153181</v>
      </c>
      <c r="FX123" s="461">
        <v>4.1536812268460945</v>
      </c>
      <c r="FY123" s="461">
        <v>5.2949615919984598</v>
      </c>
      <c r="FZ123" s="461"/>
      <c r="GA123" s="461"/>
      <c r="GB123" s="461"/>
      <c r="GC123" s="461"/>
      <c r="GD123" s="469"/>
      <c r="GE123" s="469"/>
      <c r="GF123" s="469"/>
      <c r="GG123" s="469"/>
      <c r="GH123" s="469"/>
      <c r="GI123" s="469"/>
      <c r="GJ123" s="469">
        <v>0.34165228441257972</v>
      </c>
      <c r="GK123" s="469">
        <v>3.0491124027488592</v>
      </c>
      <c r="GL123" s="469">
        <v>39.34129249299113</v>
      </c>
      <c r="GM123" s="458"/>
      <c r="GN123" s="464"/>
      <c r="GO123" s="470"/>
      <c r="GP123" s="468"/>
    </row>
    <row r="124" spans="1:198" x14ac:dyDescent="0.25">
      <c r="A124" s="465" t="s">
        <v>1586</v>
      </c>
      <c r="B124" s="461">
        <v>1.3615665763782481E-2</v>
      </c>
      <c r="C124" s="461">
        <v>5.3581640169435465E-2</v>
      </c>
      <c r="D124" s="461">
        <v>2.2967633220579774E-3</v>
      </c>
      <c r="E124" s="461">
        <v>3.868714393274824E-2</v>
      </c>
      <c r="F124" s="461">
        <v>0.1517117115356261</v>
      </c>
      <c r="G124" s="461">
        <v>5.1534220578684196E-2</v>
      </c>
      <c r="H124" s="461">
        <v>1.8664309611176676E-2</v>
      </c>
      <c r="I124" s="461">
        <v>2.3785149281001148E-2</v>
      </c>
      <c r="J124" s="461">
        <v>2.1444296627001051E-3</v>
      </c>
      <c r="K124" s="461">
        <v>2.379523862186458E-2</v>
      </c>
      <c r="L124" s="461">
        <v>5.6074272123034551E-3</v>
      </c>
      <c r="M124" s="461">
        <v>1.4808404186558185E-2</v>
      </c>
      <c r="N124" s="461">
        <v>8.38376962761848E-2</v>
      </c>
      <c r="O124" s="461">
        <v>4.8297608592027504E-3</v>
      </c>
      <c r="P124" s="461">
        <v>0.16056453240067584</v>
      </c>
      <c r="Q124" s="461">
        <v>0.1547916060473046</v>
      </c>
      <c r="R124" s="461">
        <v>2.3815605161619784E-2</v>
      </c>
      <c r="S124" s="461">
        <v>0.87402257262907923</v>
      </c>
      <c r="T124" s="461">
        <v>0.44233328828135943</v>
      </c>
      <c r="U124" s="461">
        <v>1.4388111567702586</v>
      </c>
      <c r="V124" s="461">
        <v>8.4708732343109175E-2</v>
      </c>
      <c r="W124" s="461">
        <v>0.15025533498674609</v>
      </c>
      <c r="X124" s="461">
        <v>1.1126972409415883</v>
      </c>
      <c r="Y124" s="461">
        <v>6.2293206317512458E-2</v>
      </c>
      <c r="Z124" s="461">
        <v>1.990759161901261</v>
      </c>
      <c r="AA124" s="461">
        <v>0.430856636520346</v>
      </c>
      <c r="AB124" s="461">
        <v>0.20077336323409159</v>
      </c>
      <c r="AC124" s="461">
        <v>1.1386950286270119E-2</v>
      </c>
      <c r="AD124" s="461">
        <v>1.0578979831515154</v>
      </c>
      <c r="AE124" s="461">
        <v>0.13045807039757848</v>
      </c>
      <c r="AF124" s="461">
        <v>0.10595614278970682</v>
      </c>
      <c r="AG124" s="461">
        <v>3.9331578921618371E-2</v>
      </c>
      <c r="AH124" s="461">
        <v>0.47899825670726481</v>
      </c>
      <c r="AI124" s="461">
        <v>3.6657781260523326</v>
      </c>
      <c r="AJ124" s="461">
        <v>0.26452775798055173</v>
      </c>
      <c r="AK124" s="461">
        <v>0.1177374516507822</v>
      </c>
      <c r="AL124" s="461">
        <v>1.2092485538299365E-2</v>
      </c>
      <c r="AM124" s="461">
        <v>6.9735305589581284E-2</v>
      </c>
      <c r="AN124" s="461">
        <v>13.967596702514491</v>
      </c>
      <c r="AO124" s="461">
        <v>2.6291462020058787</v>
      </c>
      <c r="AP124" s="461">
        <v>0.16686583362892432</v>
      </c>
      <c r="AQ124" s="461">
        <v>1.2488667745403776</v>
      </c>
      <c r="AR124" s="461">
        <v>7.5696529356370423E-3</v>
      </c>
      <c r="AS124" s="461">
        <v>0.15567554788540361</v>
      </c>
      <c r="AT124" s="461">
        <v>1.4010799309686326</v>
      </c>
      <c r="AU124" s="461">
        <v>3.5142774419860094</v>
      </c>
      <c r="AV124" s="461">
        <v>1.9714489356432441E-2</v>
      </c>
      <c r="AW124" s="461">
        <v>0.12878398539367275</v>
      </c>
      <c r="AX124" s="461">
        <v>0.98338542853221123</v>
      </c>
      <c r="AY124" s="461">
        <v>0.5601570122891818</v>
      </c>
      <c r="AZ124" s="461">
        <v>7.3194234022825294E-2</v>
      </c>
      <c r="BA124" s="461">
        <v>0.84955113964359186</v>
      </c>
      <c r="BB124" s="461">
        <v>0.35606813944805604</v>
      </c>
      <c r="BC124" s="461">
        <v>1.267219772764794E-3</v>
      </c>
      <c r="BD124" s="461">
        <v>3.1175932617246886E-4</v>
      </c>
      <c r="BE124" s="461">
        <v>0.10498618499195672</v>
      </c>
      <c r="BF124" s="461">
        <v>0.24595393278910124</v>
      </c>
      <c r="BG124" s="461">
        <v>1.4879975047530727</v>
      </c>
      <c r="BH124" s="461">
        <v>0.2292237630296608</v>
      </c>
      <c r="BI124" s="461">
        <v>7.3223505344535802</v>
      </c>
      <c r="BJ124" s="461">
        <v>0.59767380142088133</v>
      </c>
      <c r="BK124" s="480">
        <v>0.5313369790709136</v>
      </c>
      <c r="BL124" s="461">
        <v>8.4039019033334217E-2</v>
      </c>
      <c r="BM124" s="461">
        <v>6.6262651425291779</v>
      </c>
      <c r="BN124" s="461">
        <v>4.1302788287458174</v>
      </c>
      <c r="BO124" s="461">
        <v>0.10680824656063921</v>
      </c>
      <c r="BP124" s="461">
        <v>0.37483419640664639</v>
      </c>
      <c r="BQ124" s="461">
        <v>1.2554551767776485</v>
      </c>
      <c r="BR124" s="461">
        <v>0.13287774923106827</v>
      </c>
      <c r="BS124" s="461">
        <v>0.12239385494138358</v>
      </c>
      <c r="BT124" s="461"/>
      <c r="BU124" s="461">
        <v>0.51681056518705193</v>
      </c>
      <c r="BV124" s="461">
        <v>5.6845226652514909E-2</v>
      </c>
      <c r="BW124" s="461"/>
      <c r="BX124" s="461">
        <v>1.4654920342990616</v>
      </c>
      <c r="BY124" s="461">
        <v>1.6061592106792981</v>
      </c>
      <c r="BZ124" s="461">
        <v>4.0817984510785656</v>
      </c>
      <c r="CA124" s="461"/>
      <c r="CB124" s="461"/>
      <c r="CC124" s="461"/>
      <c r="CD124" s="461"/>
      <c r="CE124" s="461"/>
      <c r="CF124" s="461"/>
      <c r="CG124" s="461"/>
      <c r="CH124" s="461"/>
      <c r="CI124" s="461"/>
      <c r="CJ124" s="461"/>
      <c r="CK124" s="461"/>
      <c r="CL124" s="461"/>
      <c r="CM124" s="461"/>
      <c r="CN124" s="461"/>
      <c r="CO124" s="461"/>
      <c r="CP124" s="461"/>
      <c r="CQ124" s="461"/>
      <c r="CR124" s="461"/>
      <c r="CS124" s="461"/>
      <c r="CT124" s="461"/>
      <c r="CU124" s="461"/>
      <c r="CV124" s="461"/>
      <c r="CW124" s="461"/>
      <c r="CX124" s="461"/>
      <c r="CY124" s="461"/>
      <c r="CZ124" s="461"/>
      <c r="DA124" s="461"/>
      <c r="DB124" s="461"/>
      <c r="DC124" s="461"/>
      <c r="DD124" s="461"/>
      <c r="DE124" s="461"/>
      <c r="DF124" s="461"/>
      <c r="DG124" s="461"/>
      <c r="DH124" s="461"/>
      <c r="DI124" s="461"/>
      <c r="DJ124" s="461"/>
      <c r="DK124" s="461"/>
      <c r="DL124" s="461"/>
      <c r="DM124" s="461"/>
      <c r="DN124" s="461"/>
      <c r="DO124" s="461"/>
      <c r="DP124" s="461"/>
      <c r="DQ124" s="461"/>
      <c r="DR124" s="461"/>
      <c r="DS124" s="461"/>
      <c r="DT124" s="461"/>
      <c r="DU124" s="461"/>
      <c r="DV124" s="461"/>
      <c r="DW124" s="461"/>
      <c r="DX124" s="461"/>
      <c r="DY124" s="461"/>
      <c r="DZ124" s="461"/>
      <c r="EA124" s="461"/>
      <c r="EB124" s="461"/>
      <c r="EC124" s="461"/>
      <c r="ED124" s="461"/>
      <c r="EE124" s="461"/>
      <c r="EF124" s="461"/>
      <c r="EG124" s="461"/>
      <c r="EH124" s="461"/>
      <c r="EI124" s="461"/>
      <c r="EJ124" s="461"/>
      <c r="EK124" s="461"/>
      <c r="EL124" s="461"/>
      <c r="EM124" s="461"/>
      <c r="EN124" s="461"/>
      <c r="EO124" s="461"/>
      <c r="EP124" s="461"/>
      <c r="EQ124" s="461"/>
      <c r="ER124" s="461"/>
      <c r="ES124" s="461"/>
      <c r="ET124" s="461"/>
      <c r="EU124" s="461"/>
      <c r="EV124" s="461"/>
      <c r="EW124" s="461"/>
      <c r="EX124" s="461"/>
      <c r="EY124" s="461"/>
      <c r="EZ124" s="461"/>
      <c r="FA124" s="461"/>
      <c r="FB124" s="461"/>
      <c r="FC124" s="461"/>
      <c r="FD124" s="461"/>
      <c r="FE124" s="461"/>
      <c r="FF124" s="461"/>
      <c r="FG124" s="461"/>
      <c r="FH124" s="461"/>
      <c r="FI124" s="461"/>
      <c r="FJ124" s="461"/>
      <c r="FK124" s="461"/>
      <c r="FL124" s="461"/>
      <c r="FM124" s="461"/>
      <c r="FN124" s="461"/>
      <c r="FO124" s="461"/>
      <c r="FP124" s="461">
        <v>8.8207948562965335E-2</v>
      </c>
      <c r="FQ124" s="461">
        <v>0.1177688951365298</v>
      </c>
      <c r="FR124" s="461">
        <v>0.14722561177427068</v>
      </c>
      <c r="FS124" s="461">
        <v>0.16050945416628398</v>
      </c>
      <c r="FT124" s="461">
        <v>0.21318331981779581</v>
      </c>
      <c r="FU124" s="461">
        <v>0.19263240421019698</v>
      </c>
      <c r="FV124" s="461">
        <v>0.19301134637453701</v>
      </c>
      <c r="FW124" s="461">
        <v>0.29749232128153352</v>
      </c>
      <c r="FX124" s="461">
        <v>0.47071681574756835</v>
      </c>
      <c r="FY124" s="461">
        <v>0.90827346043772872</v>
      </c>
      <c r="FZ124" s="461"/>
      <c r="GA124" s="461"/>
      <c r="GB124" s="461"/>
      <c r="GC124" s="461"/>
      <c r="GD124" s="469"/>
      <c r="GE124" s="469"/>
      <c r="GF124" s="469"/>
      <c r="GG124" s="469"/>
      <c r="GH124" s="469"/>
      <c r="GI124" s="469"/>
      <c r="GJ124" s="469">
        <v>5.33092419285046E-2</v>
      </c>
      <c r="GK124" s="469">
        <v>8.6148143880128654</v>
      </c>
      <c r="GL124" s="469">
        <v>82.169719211946216</v>
      </c>
      <c r="GM124" s="458"/>
      <c r="GN124" s="464"/>
      <c r="GO124" s="470"/>
      <c r="GP124" s="468"/>
    </row>
    <row r="125" spans="1:198" x14ac:dyDescent="0.25">
      <c r="A125" s="465" t="s">
        <v>1585</v>
      </c>
      <c r="B125" s="461">
        <v>8.2008467162463699E-4</v>
      </c>
      <c r="C125" s="461">
        <v>3.2324239189008052E-3</v>
      </c>
      <c r="D125" s="461">
        <v>1.3849020331075111E-4</v>
      </c>
      <c r="E125" s="461">
        <v>2.3258061623008595E-3</v>
      </c>
      <c r="F125" s="461">
        <v>9.1265793902888213E-3</v>
      </c>
      <c r="G125" s="461">
        <v>3.1042321148306564E-3</v>
      </c>
      <c r="H125" s="461">
        <v>1.1254054744457192E-3</v>
      </c>
      <c r="I125" s="461">
        <v>1.4332666601711108E-3</v>
      </c>
      <c r="J125" s="461">
        <v>1.2911977044378621E-4</v>
      </c>
      <c r="K125" s="461">
        <v>1.4338597781963466E-3</v>
      </c>
      <c r="L125" s="461">
        <v>3.3786222787457855E-4</v>
      </c>
      <c r="M125" s="461">
        <v>8.9205458148146875E-4</v>
      </c>
      <c r="N125" s="461">
        <v>3.1299495559583432E-2</v>
      </c>
      <c r="O125" s="461">
        <v>8.1154939525178455E-3</v>
      </c>
      <c r="P125" s="461">
        <v>4.6870360205923833E-2</v>
      </c>
      <c r="Q125" s="461">
        <v>3.4414774151643304E-2</v>
      </c>
      <c r="R125" s="461">
        <v>1.9675887283590069E-3</v>
      </c>
      <c r="S125" s="461">
        <v>0.27829574451871175</v>
      </c>
      <c r="T125" s="461">
        <v>4.2831451494471817E-2</v>
      </c>
      <c r="U125" s="461">
        <v>0.11887116011062554</v>
      </c>
      <c r="V125" s="461">
        <v>0.26245343215702305</v>
      </c>
      <c r="W125" s="461">
        <v>0.20037111020381687</v>
      </c>
      <c r="X125" s="461">
        <v>0.78877326897162836</v>
      </c>
      <c r="Y125" s="461">
        <v>6.9871803311796488E-2</v>
      </c>
      <c r="Z125" s="461">
        <v>0.86513446486490675</v>
      </c>
      <c r="AA125" s="461">
        <v>0.61336390929972973</v>
      </c>
      <c r="AB125" s="461">
        <v>0.12413334827862232</v>
      </c>
      <c r="AC125" s="461">
        <v>1.406589180089488E-2</v>
      </c>
      <c r="AD125" s="461">
        <v>1.1487115245957433</v>
      </c>
      <c r="AE125" s="461">
        <v>0.18915986065739041</v>
      </c>
      <c r="AF125" s="461">
        <v>0.15782982626400036</v>
      </c>
      <c r="AG125" s="461">
        <v>4.4463919707212141E-2</v>
      </c>
      <c r="AH125" s="461">
        <v>0.72451875462040516</v>
      </c>
      <c r="AI125" s="461">
        <v>3.2420260171821074</v>
      </c>
      <c r="AJ125" s="461">
        <v>0.3528870721240191</v>
      </c>
      <c r="AK125" s="461">
        <v>0.20024172463827142</v>
      </c>
      <c r="AL125" s="461">
        <v>1.8187235890791052E-2</v>
      </c>
      <c r="AM125" s="461">
        <v>0.11993115539459666</v>
      </c>
      <c r="AN125" s="461">
        <v>0.610027902788423</v>
      </c>
      <c r="AO125" s="461">
        <v>30.028405602961339</v>
      </c>
      <c r="AP125" s="461">
        <v>19.290408343164547</v>
      </c>
      <c r="AQ125" s="461">
        <v>0.2192215297392803</v>
      </c>
      <c r="AR125" s="461">
        <v>1.6604170708262472E-3</v>
      </c>
      <c r="AS125" s="461">
        <v>3.4147713166904861E-2</v>
      </c>
      <c r="AT125" s="461">
        <v>0.30732941850214379</v>
      </c>
      <c r="AU125" s="461">
        <v>4.8247889538002555</v>
      </c>
      <c r="AV125" s="461">
        <v>2.3002300149726141E-2</v>
      </c>
      <c r="AW125" s="461">
        <v>6.6768733192225822</v>
      </c>
      <c r="AX125" s="461">
        <v>0.63052859710311282</v>
      </c>
      <c r="AY125" s="461">
        <v>0.15922561337591837</v>
      </c>
      <c r="AZ125" s="461">
        <v>0.13726857397462741</v>
      </c>
      <c r="BA125" s="461">
        <v>0.18216198200904249</v>
      </c>
      <c r="BB125" s="461">
        <v>0.33405971372452598</v>
      </c>
      <c r="BC125" s="461">
        <v>2.1847254905451763E-3</v>
      </c>
      <c r="BD125" s="461">
        <v>5.3748257519542323E-4</v>
      </c>
      <c r="BE125" s="461">
        <v>0.18099648635214205</v>
      </c>
      <c r="BF125" s="461">
        <v>0.1523814789125286</v>
      </c>
      <c r="BG125" s="461">
        <v>1.1880807779400215</v>
      </c>
      <c r="BH125" s="461">
        <v>7.1257995606635012E-3</v>
      </c>
      <c r="BI125" s="461">
        <v>0.22144790078485538</v>
      </c>
      <c r="BJ125" s="461">
        <v>1.142022643321343</v>
      </c>
      <c r="BK125" s="480">
        <v>0.1739966581940236</v>
      </c>
      <c r="BL125" s="461">
        <v>1.5631551561776241E-2</v>
      </c>
      <c r="BM125" s="461">
        <v>0.77164902986169914</v>
      </c>
      <c r="BN125" s="461">
        <v>26.753513753718043</v>
      </c>
      <c r="BO125" s="461">
        <v>7.5501169858887704E-2</v>
      </c>
      <c r="BP125" s="461">
        <v>0.40415166462763619</v>
      </c>
      <c r="BQ125" s="461">
        <v>1.3538043975547798</v>
      </c>
      <c r="BR125" s="461">
        <v>0.1948290263711476</v>
      </c>
      <c r="BS125" s="461">
        <v>0.1794401891654259</v>
      </c>
      <c r="BT125" s="461"/>
      <c r="BU125" s="461">
        <v>0.57328003021790708</v>
      </c>
      <c r="BV125" s="461">
        <v>9.6630044645443294E-2</v>
      </c>
      <c r="BW125" s="461">
        <v>0.35908248636665396</v>
      </c>
      <c r="BX125" s="461">
        <v>16.976083369433407</v>
      </c>
      <c r="BY125" s="461">
        <v>2.2051630483298688</v>
      </c>
      <c r="BZ125" s="461">
        <v>4.8230301590520215</v>
      </c>
      <c r="CA125" s="461"/>
      <c r="CB125" s="461"/>
      <c r="CC125" s="461"/>
      <c r="CD125" s="461"/>
      <c r="CE125" s="461"/>
      <c r="CF125" s="461"/>
      <c r="CG125" s="461"/>
      <c r="CH125" s="461"/>
      <c r="CI125" s="461"/>
      <c r="CJ125" s="461"/>
      <c r="CK125" s="461"/>
      <c r="CL125" s="461"/>
      <c r="CM125" s="461"/>
      <c r="CN125" s="461"/>
      <c r="CO125" s="461"/>
      <c r="CP125" s="461"/>
      <c r="CQ125" s="461"/>
      <c r="CR125" s="461"/>
      <c r="CS125" s="461"/>
      <c r="CT125" s="461"/>
      <c r="CU125" s="461"/>
      <c r="CV125" s="461"/>
      <c r="CW125" s="461"/>
      <c r="CX125" s="461"/>
      <c r="CY125" s="461"/>
      <c r="CZ125" s="461"/>
      <c r="DA125" s="461"/>
      <c r="DB125" s="461"/>
      <c r="DC125" s="461"/>
      <c r="DD125" s="461"/>
      <c r="DE125" s="461"/>
      <c r="DF125" s="461"/>
      <c r="DG125" s="461"/>
      <c r="DH125" s="461"/>
      <c r="DI125" s="461"/>
      <c r="DJ125" s="461"/>
      <c r="DK125" s="461"/>
      <c r="DL125" s="461"/>
      <c r="DM125" s="461"/>
      <c r="DN125" s="461"/>
      <c r="DO125" s="461"/>
      <c r="DP125" s="461"/>
      <c r="DQ125" s="461"/>
      <c r="DR125" s="461"/>
      <c r="DS125" s="461"/>
      <c r="DT125" s="461"/>
      <c r="DU125" s="461"/>
      <c r="DV125" s="461"/>
      <c r="DW125" s="461"/>
      <c r="DX125" s="461"/>
      <c r="DY125" s="461"/>
      <c r="DZ125" s="461"/>
      <c r="EA125" s="461"/>
      <c r="EB125" s="461"/>
      <c r="EC125" s="461"/>
      <c r="ED125" s="461"/>
      <c r="EE125" s="461"/>
      <c r="EF125" s="461"/>
      <c r="EG125" s="461"/>
      <c r="EH125" s="461"/>
      <c r="EI125" s="461"/>
      <c r="EJ125" s="461"/>
      <c r="EK125" s="461"/>
      <c r="EL125" s="461"/>
      <c r="EM125" s="461"/>
      <c r="EN125" s="461"/>
      <c r="EO125" s="461"/>
      <c r="EP125" s="461"/>
      <c r="EQ125" s="461"/>
      <c r="ER125" s="461"/>
      <c r="ES125" s="461"/>
      <c r="ET125" s="461"/>
      <c r="EU125" s="461"/>
      <c r="EV125" s="461"/>
      <c r="EW125" s="461"/>
      <c r="EX125" s="461"/>
      <c r="EY125" s="461"/>
      <c r="EZ125" s="461"/>
      <c r="FA125" s="461"/>
      <c r="FB125" s="461"/>
      <c r="FC125" s="461"/>
      <c r="FD125" s="461"/>
      <c r="FE125" s="461"/>
      <c r="FF125" s="461"/>
      <c r="FG125" s="461"/>
      <c r="FH125" s="461"/>
      <c r="FI125" s="461"/>
      <c r="FJ125" s="461"/>
      <c r="FK125" s="461"/>
      <c r="FL125" s="461"/>
      <c r="FM125" s="461"/>
      <c r="FN125" s="461"/>
      <c r="FO125" s="461"/>
      <c r="FP125" s="461">
        <v>0.54450914820775675</v>
      </c>
      <c r="FQ125" s="461">
        <v>1.0323165726147197</v>
      </c>
      <c r="FR125" s="461">
        <v>0.98480880181816233</v>
      </c>
      <c r="FS125" s="461">
        <v>1.1090222561325151</v>
      </c>
      <c r="FT125" s="461">
        <v>1.0072739996510585</v>
      </c>
      <c r="FU125" s="461">
        <v>1.1861088314479074</v>
      </c>
      <c r="FV125" s="461">
        <v>1.1981310487387187</v>
      </c>
      <c r="FW125" s="461">
        <v>1.3653632743405602</v>
      </c>
      <c r="FX125" s="461">
        <v>1.835530713164651</v>
      </c>
      <c r="FY125" s="461">
        <v>2.2350930840354954</v>
      </c>
      <c r="FZ125" s="461"/>
      <c r="GA125" s="461"/>
      <c r="GB125" s="461"/>
      <c r="GC125" s="461"/>
      <c r="GD125" s="469"/>
      <c r="GE125" s="469"/>
      <c r="GF125" s="469"/>
      <c r="GG125" s="469"/>
      <c r="GH125" s="469"/>
      <c r="GI125" s="469"/>
      <c r="GJ125" s="469">
        <v>-0.2470780537767209</v>
      </c>
      <c r="GK125" s="469">
        <v>18.601519504478627</v>
      </c>
      <c r="GL125" s="469">
        <v>161.88516260914136</v>
      </c>
      <c r="GM125" s="458"/>
      <c r="GN125" s="464"/>
      <c r="GO125" s="470"/>
      <c r="GP125" s="468"/>
    </row>
    <row r="126" spans="1:198" x14ac:dyDescent="0.25">
      <c r="A126" s="465" t="s">
        <v>1584</v>
      </c>
      <c r="B126" s="461">
        <v>1.9813862849515687E-4</v>
      </c>
      <c r="C126" s="461">
        <v>7.810405779761654E-4</v>
      </c>
      <c r="D126" s="461">
        <v>3.3462058275033995E-5</v>
      </c>
      <c r="E126" s="461">
        <v>5.618819866656567E-4</v>
      </c>
      <c r="F126" s="461">
        <v>2.2049395557797282E-3</v>
      </c>
      <c r="G126" s="461">
        <v>7.5001103782172229E-4</v>
      </c>
      <c r="H126" s="461">
        <v>2.7192105377111137E-4</v>
      </c>
      <c r="I126" s="461">
        <v>3.4629606024677643E-4</v>
      </c>
      <c r="J126" s="461">
        <v>3.1195797942058987E-5</v>
      </c>
      <c r="K126" s="461">
        <v>3.4643919111248384E-4</v>
      </c>
      <c r="L126" s="461">
        <v>8.1631439777421976E-5</v>
      </c>
      <c r="M126" s="461">
        <v>2.1552864611457985E-4</v>
      </c>
      <c r="N126" s="461">
        <v>7.9155935841204294E-3</v>
      </c>
      <c r="O126" s="461">
        <v>3.192249458661753E-3</v>
      </c>
      <c r="P126" s="461">
        <v>8.6387220609539864E-3</v>
      </c>
      <c r="Q126" s="461">
        <v>6.0171770478440407E-3</v>
      </c>
      <c r="R126" s="461">
        <v>1.8887835084005047E-4</v>
      </c>
      <c r="S126" s="461"/>
      <c r="T126" s="461">
        <v>4.7894200804452454E-2</v>
      </c>
      <c r="U126" s="461">
        <v>1.141101713001982E-2</v>
      </c>
      <c r="V126" s="461">
        <v>5.5755883727807735E-3</v>
      </c>
      <c r="W126" s="461">
        <v>1.4872679425284698E-3</v>
      </c>
      <c r="X126" s="461">
        <v>1.9570599383489162E-2</v>
      </c>
      <c r="Y126" s="461">
        <v>6.2353605250317125E-4</v>
      </c>
      <c r="Z126" s="461">
        <v>6.9347629356571782E-3</v>
      </c>
      <c r="AA126" s="461">
        <v>5.9325354539357961E-3</v>
      </c>
      <c r="AB126" s="461">
        <v>1.0463517742000241E-2</v>
      </c>
      <c r="AC126" s="461"/>
      <c r="AD126" s="461">
        <v>7.5423529282548391E-2</v>
      </c>
      <c r="AE126" s="461">
        <v>1.2102686527284195E-3</v>
      </c>
      <c r="AF126" s="461"/>
      <c r="AG126" s="461"/>
      <c r="AH126" s="461">
        <v>4.348944216628914E-3</v>
      </c>
      <c r="AI126" s="461">
        <v>1.2032733951206688E-2</v>
      </c>
      <c r="AJ126" s="461">
        <v>4.2884844438714445E-2</v>
      </c>
      <c r="AK126" s="461">
        <v>1.4575908586198994E-2</v>
      </c>
      <c r="AL126" s="461">
        <v>1.2742247300662056E-3</v>
      </c>
      <c r="AM126" s="461">
        <v>6.9758323317426173E-3</v>
      </c>
      <c r="AN126" s="461">
        <v>2.3115645332040219E-2</v>
      </c>
      <c r="AO126" s="461">
        <v>2.1867654185139966</v>
      </c>
      <c r="AP126" s="461">
        <v>4.6107502123607063</v>
      </c>
      <c r="AQ126" s="461">
        <v>1.9497053358730278E-2</v>
      </c>
      <c r="AR126" s="461">
        <v>8.3061595655320257E-5</v>
      </c>
      <c r="AS126" s="461">
        <v>1.708223550250475E-3</v>
      </c>
      <c r="AT126" s="461">
        <v>1.5374011952254275E-2</v>
      </c>
      <c r="AU126" s="461">
        <v>0.21056267881366117</v>
      </c>
      <c r="AV126" s="461">
        <v>7.9793250561201526E-3</v>
      </c>
      <c r="AW126" s="461">
        <v>5.4318102420163467E-2</v>
      </c>
      <c r="AX126" s="461">
        <v>1.7437239752989928E-2</v>
      </c>
      <c r="AY126" s="461">
        <v>2.5624953413773213E-2</v>
      </c>
      <c r="AZ126" s="461">
        <v>7.7810258939154569E-3</v>
      </c>
      <c r="BA126" s="461">
        <v>3.5479140317412748E-2</v>
      </c>
      <c r="BB126" s="461">
        <v>6.3101139788684202E-2</v>
      </c>
      <c r="BC126" s="461">
        <v>3.2877515099261068E-4</v>
      </c>
      <c r="BD126" s="461">
        <v>8.0884722396714503E-5</v>
      </c>
      <c r="BE126" s="461">
        <v>2.7238650593892657E-2</v>
      </c>
      <c r="BF126" s="461">
        <v>3.0919964987822213</v>
      </c>
      <c r="BG126" s="461">
        <v>5.8239074908405727E-2</v>
      </c>
      <c r="BH126" s="461">
        <v>3.5562733264467789E-3</v>
      </c>
      <c r="BI126" s="461">
        <v>1.2049784264216656E-2</v>
      </c>
      <c r="BJ126" s="461">
        <v>0.35665332655202298</v>
      </c>
      <c r="BK126" s="480">
        <v>0.15645625578297651</v>
      </c>
      <c r="BL126" s="461">
        <v>1.2298820998319096E-2</v>
      </c>
      <c r="BM126" s="461">
        <v>0.18382238372956769</v>
      </c>
      <c r="BN126" s="461">
        <v>31.403175751257997</v>
      </c>
      <c r="BO126" s="461">
        <v>0.2252266756617608</v>
      </c>
      <c r="BP126" s="461">
        <v>0.11034228614269417</v>
      </c>
      <c r="BQ126" s="461">
        <v>0.36916326193994548</v>
      </c>
      <c r="BR126" s="461">
        <v>6.2017619763556561E-2</v>
      </c>
      <c r="BS126" s="461">
        <v>5.7130658361210146E-2</v>
      </c>
      <c r="BT126" s="461"/>
      <c r="BU126" s="461">
        <v>0.18426736060361643</v>
      </c>
      <c r="BV126" s="461">
        <v>0.1497182057323142</v>
      </c>
      <c r="BW126" s="461">
        <v>1.1962995070461073</v>
      </c>
      <c r="BX126" s="461">
        <v>29.863531477642287</v>
      </c>
      <c r="BY126" s="461">
        <v>4.035623801567028</v>
      </c>
      <c r="BZ126" s="461">
        <v>8.2347400458998017</v>
      </c>
      <c r="CA126" s="461"/>
      <c r="CB126" s="461"/>
      <c r="CC126" s="461"/>
      <c r="CD126" s="461"/>
      <c r="CE126" s="461"/>
      <c r="CF126" s="461"/>
      <c r="CG126" s="461"/>
      <c r="CH126" s="461"/>
      <c r="CI126" s="461"/>
      <c r="CJ126" s="461"/>
      <c r="CK126" s="461"/>
      <c r="CL126" s="461"/>
      <c r="CM126" s="461"/>
      <c r="CN126" s="461"/>
      <c r="CO126" s="461"/>
      <c r="CP126" s="461"/>
      <c r="CQ126" s="461"/>
      <c r="CR126" s="461"/>
      <c r="CS126" s="461"/>
      <c r="CT126" s="461"/>
      <c r="CU126" s="461"/>
      <c r="CV126" s="461"/>
      <c r="CW126" s="461"/>
      <c r="CX126" s="461"/>
      <c r="CY126" s="461"/>
      <c r="CZ126" s="461"/>
      <c r="DA126" s="461"/>
      <c r="DB126" s="461"/>
      <c r="DC126" s="461"/>
      <c r="DD126" s="461"/>
      <c r="DE126" s="461"/>
      <c r="DF126" s="461"/>
      <c r="DG126" s="461"/>
      <c r="DH126" s="461"/>
      <c r="DI126" s="461"/>
      <c r="DJ126" s="461"/>
      <c r="DK126" s="461"/>
      <c r="DL126" s="461"/>
      <c r="DM126" s="461"/>
      <c r="DN126" s="461"/>
      <c r="DO126" s="461"/>
      <c r="DP126" s="461"/>
      <c r="DQ126" s="461"/>
      <c r="DR126" s="461"/>
      <c r="DS126" s="461"/>
      <c r="DT126" s="461"/>
      <c r="DU126" s="461"/>
      <c r="DV126" s="461"/>
      <c r="DW126" s="461"/>
      <c r="DX126" s="461"/>
      <c r="DY126" s="461"/>
      <c r="DZ126" s="461"/>
      <c r="EA126" s="461"/>
      <c r="EB126" s="461"/>
      <c r="EC126" s="461"/>
      <c r="ED126" s="461"/>
      <c r="EE126" s="461"/>
      <c r="EF126" s="461"/>
      <c r="EG126" s="461"/>
      <c r="EH126" s="461"/>
      <c r="EI126" s="461"/>
      <c r="EJ126" s="461"/>
      <c r="EK126" s="461"/>
      <c r="EL126" s="461"/>
      <c r="EM126" s="461"/>
      <c r="EN126" s="461"/>
      <c r="EO126" s="461"/>
      <c r="EP126" s="461"/>
      <c r="EQ126" s="461"/>
      <c r="ER126" s="461"/>
      <c r="ES126" s="461"/>
      <c r="ET126" s="461"/>
      <c r="EU126" s="461"/>
      <c r="EV126" s="461"/>
      <c r="EW126" s="461"/>
      <c r="EX126" s="461"/>
      <c r="EY126" s="461"/>
      <c r="EZ126" s="461"/>
      <c r="FA126" s="461"/>
      <c r="FB126" s="461"/>
      <c r="FC126" s="461"/>
      <c r="FD126" s="461"/>
      <c r="FE126" s="461"/>
      <c r="FF126" s="461"/>
      <c r="FG126" s="461"/>
      <c r="FH126" s="461"/>
      <c r="FI126" s="461"/>
      <c r="FJ126" s="461"/>
      <c r="FK126" s="461"/>
      <c r="FL126" s="461"/>
      <c r="FM126" s="461"/>
      <c r="FN126" s="461"/>
      <c r="FO126" s="461"/>
      <c r="FP126" s="461">
        <v>2.7237499257330818E-2</v>
      </c>
      <c r="FQ126" s="461">
        <v>5.4480973687361309E-2</v>
      </c>
      <c r="FR126" s="461">
        <v>0.11292218597243359</v>
      </c>
      <c r="FS126" s="461">
        <v>0.20784884389353162</v>
      </c>
      <c r="FT126" s="461">
        <v>0.24031501783833348</v>
      </c>
      <c r="FU126" s="461">
        <v>0.58194490573023228</v>
      </c>
      <c r="FV126" s="461">
        <v>0.88793958726689215</v>
      </c>
      <c r="FW126" s="461">
        <v>1.0505316913552796</v>
      </c>
      <c r="FX126" s="461">
        <v>2.0584564510275238</v>
      </c>
      <c r="FY126" s="461">
        <v>4.1342809652972958</v>
      </c>
      <c r="FZ126" s="461"/>
      <c r="GA126" s="461"/>
      <c r="GB126" s="461"/>
      <c r="GC126" s="461"/>
      <c r="GD126" s="469"/>
      <c r="GE126" s="469"/>
      <c r="GF126" s="469"/>
      <c r="GG126" s="469"/>
      <c r="GH126" s="469">
        <v>1.6316410953197084E-3</v>
      </c>
      <c r="GI126" s="469">
        <v>5.8223832416537936E-5</v>
      </c>
      <c r="GJ126" s="469">
        <v>0.27500281093319273</v>
      </c>
      <c r="GK126" s="469">
        <v>1.6382401379692531</v>
      </c>
      <c r="GL126" s="469">
        <v>98.644819966250083</v>
      </c>
      <c r="GM126" s="458"/>
      <c r="GN126" s="464"/>
      <c r="GO126" s="470"/>
      <c r="GP126" s="468"/>
    </row>
    <row r="127" spans="1:198" x14ac:dyDescent="0.25">
      <c r="A127" s="465" t="s">
        <v>2317</v>
      </c>
      <c r="B127" s="461"/>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c r="AA127" s="461"/>
      <c r="AB127" s="461"/>
      <c r="AC127" s="461"/>
      <c r="AD127" s="461"/>
      <c r="AE127" s="461"/>
      <c r="AF127" s="461"/>
      <c r="AG127" s="461"/>
      <c r="AH127" s="461"/>
      <c r="AI127" s="461"/>
      <c r="AJ127" s="461"/>
      <c r="AK127" s="461"/>
      <c r="AL127" s="461"/>
      <c r="AM127" s="461"/>
      <c r="AN127" s="461"/>
      <c r="AO127" s="461"/>
      <c r="AP127" s="461"/>
      <c r="AQ127" s="461"/>
      <c r="AR127" s="461"/>
      <c r="AS127" s="461"/>
      <c r="AT127" s="461"/>
      <c r="AU127" s="461"/>
      <c r="AV127" s="461"/>
      <c r="AW127" s="461"/>
      <c r="AX127" s="461"/>
      <c r="AY127" s="461"/>
      <c r="AZ127" s="461"/>
      <c r="BA127" s="461"/>
      <c r="BB127" s="461"/>
      <c r="BC127" s="461"/>
      <c r="BD127" s="461"/>
      <c r="BE127" s="461"/>
      <c r="BF127" s="461"/>
      <c r="BG127" s="461"/>
      <c r="BH127" s="461"/>
      <c r="BI127" s="461"/>
      <c r="BJ127" s="461"/>
      <c r="BK127" s="480"/>
      <c r="BL127" s="461"/>
      <c r="BM127" s="461"/>
      <c r="BN127" s="461"/>
      <c r="BO127" s="461"/>
      <c r="BP127" s="461">
        <v>11.514665151792434</v>
      </c>
      <c r="BQ127" s="461">
        <v>73.430301897108478</v>
      </c>
      <c r="BR127" s="461"/>
      <c r="BS127" s="461"/>
      <c r="BT127" s="461">
        <v>97.478703028205615</v>
      </c>
      <c r="BU127" s="461"/>
      <c r="BV127" s="461"/>
      <c r="BW127" s="461"/>
      <c r="BX127" s="461"/>
      <c r="BY127" s="461"/>
      <c r="BZ127" s="461"/>
      <c r="CA127" s="461"/>
      <c r="CB127" s="461"/>
      <c r="CC127" s="461"/>
      <c r="CD127" s="461"/>
      <c r="CE127" s="461"/>
      <c r="CF127" s="461"/>
      <c r="CG127" s="461"/>
      <c r="CH127" s="461"/>
      <c r="CI127" s="461"/>
      <c r="CJ127" s="461"/>
      <c r="CK127" s="461"/>
      <c r="CL127" s="461"/>
      <c r="CM127" s="461"/>
      <c r="CN127" s="461"/>
      <c r="CO127" s="461"/>
      <c r="CP127" s="461"/>
      <c r="CQ127" s="461"/>
      <c r="CR127" s="461"/>
      <c r="CS127" s="461"/>
      <c r="CT127" s="461"/>
      <c r="CU127" s="461"/>
      <c r="CV127" s="461"/>
      <c r="CW127" s="461"/>
      <c r="CX127" s="461"/>
      <c r="CY127" s="461"/>
      <c r="CZ127" s="461"/>
      <c r="DA127" s="461"/>
      <c r="DB127" s="461"/>
      <c r="DC127" s="461"/>
      <c r="DD127" s="461"/>
      <c r="DE127" s="461"/>
      <c r="DF127" s="461"/>
      <c r="DG127" s="461"/>
      <c r="DH127" s="461"/>
      <c r="DI127" s="461"/>
      <c r="DJ127" s="461"/>
      <c r="DK127" s="461"/>
      <c r="DL127" s="461"/>
      <c r="DM127" s="461"/>
      <c r="DN127" s="461"/>
      <c r="DO127" s="461"/>
      <c r="DP127" s="461"/>
      <c r="DQ127" s="461"/>
      <c r="DR127" s="461"/>
      <c r="DS127" s="461"/>
      <c r="DT127" s="461"/>
      <c r="DU127" s="461"/>
      <c r="DV127" s="461"/>
      <c r="DW127" s="461"/>
      <c r="DX127" s="461"/>
      <c r="DY127" s="461"/>
      <c r="DZ127" s="461"/>
      <c r="EA127" s="461"/>
      <c r="EB127" s="461"/>
      <c r="EC127" s="461"/>
      <c r="ED127" s="461"/>
      <c r="EE127" s="461"/>
      <c r="EF127" s="461"/>
      <c r="EG127" s="461"/>
      <c r="EH127" s="461"/>
      <c r="EI127" s="461"/>
      <c r="EJ127" s="461"/>
      <c r="EK127" s="461"/>
      <c r="EL127" s="461"/>
      <c r="EM127" s="461"/>
      <c r="EN127" s="461"/>
      <c r="EO127" s="461"/>
      <c r="EP127" s="461"/>
      <c r="EQ127" s="461"/>
      <c r="ER127" s="461"/>
      <c r="ES127" s="461"/>
      <c r="ET127" s="461"/>
      <c r="EU127" s="461"/>
      <c r="EV127" s="461"/>
      <c r="EW127" s="461"/>
      <c r="EX127" s="461"/>
      <c r="EY127" s="461"/>
      <c r="EZ127" s="461"/>
      <c r="FA127" s="461"/>
      <c r="FB127" s="461"/>
      <c r="FC127" s="461"/>
      <c r="FD127" s="461"/>
      <c r="FE127" s="461"/>
      <c r="FF127" s="461"/>
      <c r="FG127" s="461"/>
      <c r="FH127" s="461"/>
      <c r="FI127" s="461"/>
      <c r="FJ127" s="461"/>
      <c r="FK127" s="461"/>
      <c r="FL127" s="461"/>
      <c r="FM127" s="461"/>
      <c r="FN127" s="461"/>
      <c r="FO127" s="461"/>
      <c r="FP127" s="461"/>
      <c r="FQ127" s="461"/>
      <c r="FR127" s="461"/>
      <c r="FS127" s="461"/>
      <c r="FT127" s="461"/>
      <c r="FU127" s="461"/>
      <c r="FV127" s="461"/>
      <c r="FW127" s="461"/>
      <c r="FX127" s="461"/>
      <c r="FY127" s="461"/>
      <c r="FZ127" s="461"/>
      <c r="GA127" s="461"/>
      <c r="GB127" s="461"/>
      <c r="GC127" s="461"/>
      <c r="GD127" s="469"/>
      <c r="GE127" s="469"/>
      <c r="GF127" s="469"/>
      <c r="GG127" s="469"/>
      <c r="GH127" s="469"/>
      <c r="GI127" s="469"/>
      <c r="GJ127" s="469">
        <v>-1E-3</v>
      </c>
      <c r="GK127" s="469">
        <v>1E-3</v>
      </c>
      <c r="GL127" s="469">
        <v>182.42367007710652</v>
      </c>
      <c r="GM127" s="458"/>
      <c r="GN127" s="464"/>
      <c r="GO127" s="470"/>
      <c r="GP127" s="468"/>
    </row>
    <row r="128" spans="1:198" x14ac:dyDescent="0.25">
      <c r="A128" s="465" t="s">
        <v>2318</v>
      </c>
      <c r="B128" s="461">
        <v>0.55483206525483009</v>
      </c>
      <c r="C128" s="461">
        <v>2.731004300005933</v>
      </c>
      <c r="D128" s="461">
        <v>0.12995388522446155</v>
      </c>
      <c r="E128" s="461">
        <v>1.318430779399689</v>
      </c>
      <c r="F128" s="461">
        <v>3.5313512694724523</v>
      </c>
      <c r="G128" s="461">
        <v>1.3483534877846373</v>
      </c>
      <c r="H128" s="461">
        <v>1.2116527196376743</v>
      </c>
      <c r="I128" s="461">
        <v>0.71417162968609382</v>
      </c>
      <c r="J128" s="461">
        <v>0.13543055350352548</v>
      </c>
      <c r="K128" s="461">
        <v>1.3869082100818884</v>
      </c>
      <c r="L128" s="461">
        <v>0.40073653369980022</v>
      </c>
      <c r="M128" s="461">
        <v>2.0537676744086459</v>
      </c>
      <c r="N128" s="461">
        <v>1.9086070362483458</v>
      </c>
      <c r="O128" s="461">
        <v>0.23646039082348241</v>
      </c>
      <c r="P128" s="461">
        <v>1.3698458822458177</v>
      </c>
      <c r="Q128" s="461">
        <v>0.99801614523889326</v>
      </c>
      <c r="R128" s="461">
        <v>3.3980303497753349E-2</v>
      </c>
      <c r="S128" s="461">
        <v>5.8862448879712943</v>
      </c>
      <c r="T128" s="461">
        <v>2.1590787990655453</v>
      </c>
      <c r="U128" s="461">
        <v>1.7886771425469756</v>
      </c>
      <c r="V128" s="461"/>
      <c r="W128" s="461"/>
      <c r="X128" s="461"/>
      <c r="Y128" s="461"/>
      <c r="Z128" s="461"/>
      <c r="AA128" s="461"/>
      <c r="AB128" s="461"/>
      <c r="AC128" s="461"/>
      <c r="AD128" s="461"/>
      <c r="AE128" s="461"/>
      <c r="AF128" s="461"/>
      <c r="AG128" s="461"/>
      <c r="AH128" s="461"/>
      <c r="AI128" s="461"/>
      <c r="AJ128" s="461"/>
      <c r="AK128" s="461"/>
      <c r="AL128" s="461"/>
      <c r="AM128" s="461"/>
      <c r="AN128" s="461">
        <v>3.6538253392530508E-2</v>
      </c>
      <c r="AO128" s="461"/>
      <c r="AP128" s="461">
        <v>7.2931063689639267E-2</v>
      </c>
      <c r="AQ128" s="461"/>
      <c r="AR128" s="461"/>
      <c r="AS128" s="461"/>
      <c r="AT128" s="461"/>
      <c r="AU128" s="461"/>
      <c r="AV128" s="461"/>
      <c r="AW128" s="461"/>
      <c r="AX128" s="461"/>
      <c r="AY128" s="461"/>
      <c r="AZ128" s="461"/>
      <c r="BA128" s="461">
        <v>5.0145660956831227E-3</v>
      </c>
      <c r="BB128" s="461">
        <v>4.7023306062488987E-2</v>
      </c>
      <c r="BC128" s="461">
        <v>1.1891434451711157E-2</v>
      </c>
      <c r="BD128" s="461">
        <v>2.9255111635459385E-3</v>
      </c>
      <c r="BE128" s="461">
        <v>1.4574554769358163</v>
      </c>
      <c r="BF128" s="461"/>
      <c r="BG128" s="461">
        <v>2.8112209811879754E-2</v>
      </c>
      <c r="BH128" s="461"/>
      <c r="BI128" s="461"/>
      <c r="BJ128" s="461">
        <v>4.6852603517448049E-2</v>
      </c>
      <c r="BK128" s="481">
        <v>9.6502561563002089</v>
      </c>
      <c r="BL128" s="461">
        <v>1.5730582621427604E-3</v>
      </c>
      <c r="BM128" s="461">
        <v>9.0817081583940321E-2</v>
      </c>
      <c r="BN128" s="461">
        <v>0.10467527565050044</v>
      </c>
      <c r="BO128" s="461">
        <v>1.394557866868013E-3</v>
      </c>
      <c r="BP128" s="461">
        <v>8.7747338920631055</v>
      </c>
      <c r="BQ128" s="461">
        <v>143.18181682596068</v>
      </c>
      <c r="BR128" s="461"/>
      <c r="BS128" s="461"/>
      <c r="BT128" s="461">
        <v>19.827639986801778</v>
      </c>
      <c r="BU128" s="461">
        <v>5.8933536240696409E-2</v>
      </c>
      <c r="BV128" s="461">
        <v>9.2315618977782867E-3</v>
      </c>
      <c r="BW128" s="461">
        <v>4.7914263325599766E-3</v>
      </c>
      <c r="BX128" s="461">
        <v>0.15529359868880299</v>
      </c>
      <c r="BY128" s="461">
        <v>4.9728993567865094E-2</v>
      </c>
      <c r="BZ128" s="461">
        <v>5.2860936920519679E-2</v>
      </c>
      <c r="CA128" s="461"/>
      <c r="CB128" s="461"/>
      <c r="CC128" s="461"/>
      <c r="CD128" s="461"/>
      <c r="CE128" s="461"/>
      <c r="CF128" s="461"/>
      <c r="CG128" s="461"/>
      <c r="CH128" s="461"/>
      <c r="CI128" s="461"/>
      <c r="CJ128" s="461"/>
      <c r="CK128" s="461"/>
      <c r="CL128" s="461"/>
      <c r="CM128" s="461"/>
      <c r="CN128" s="461"/>
      <c r="CO128" s="461"/>
      <c r="CP128" s="461"/>
      <c r="CQ128" s="461"/>
      <c r="CR128" s="461"/>
      <c r="CS128" s="461"/>
      <c r="CT128" s="461"/>
      <c r="CU128" s="461"/>
      <c r="CV128" s="461"/>
      <c r="CW128" s="461"/>
      <c r="CX128" s="461"/>
      <c r="CY128" s="461"/>
      <c r="CZ128" s="461"/>
      <c r="DA128" s="461"/>
      <c r="DB128" s="461"/>
      <c r="DC128" s="461"/>
      <c r="DD128" s="461"/>
      <c r="DE128" s="461"/>
      <c r="DF128" s="461"/>
      <c r="DG128" s="461"/>
      <c r="DH128" s="461"/>
      <c r="DI128" s="461"/>
      <c r="DJ128" s="461"/>
      <c r="DK128" s="461"/>
      <c r="DL128" s="461"/>
      <c r="DM128" s="461"/>
      <c r="DN128" s="461"/>
      <c r="DO128" s="461"/>
      <c r="DP128" s="461"/>
      <c r="DQ128" s="461"/>
      <c r="DR128" s="461"/>
      <c r="DS128" s="461"/>
      <c r="DT128" s="461"/>
      <c r="DU128" s="461"/>
      <c r="DV128" s="461"/>
      <c r="DW128" s="461"/>
      <c r="DX128" s="461"/>
      <c r="DY128" s="461"/>
      <c r="DZ128" s="461"/>
      <c r="EA128" s="461"/>
      <c r="EB128" s="461"/>
      <c r="EC128" s="461"/>
      <c r="ED128" s="461"/>
      <c r="EE128" s="461"/>
      <c r="EF128" s="461"/>
      <c r="EG128" s="461"/>
      <c r="EH128" s="461"/>
      <c r="EI128" s="461"/>
      <c r="EJ128" s="461"/>
      <c r="EK128" s="461"/>
      <c r="EL128" s="461"/>
      <c r="EM128" s="461"/>
      <c r="EN128" s="461"/>
      <c r="EO128" s="461"/>
      <c r="EP128" s="461"/>
      <c r="EQ128" s="461"/>
      <c r="ER128" s="461"/>
      <c r="ES128" s="461"/>
      <c r="ET128" s="461"/>
      <c r="EU128" s="461"/>
      <c r="EV128" s="461"/>
      <c r="EW128" s="461"/>
      <c r="EX128" s="461"/>
      <c r="EY128" s="461"/>
      <c r="EZ128" s="461"/>
      <c r="FA128" s="461"/>
      <c r="FB128" s="461"/>
      <c r="FC128" s="461"/>
      <c r="FD128" s="461"/>
      <c r="FE128" s="461"/>
      <c r="FF128" s="461"/>
      <c r="FG128" s="461"/>
      <c r="FH128" s="461"/>
      <c r="FI128" s="461"/>
      <c r="FJ128" s="461"/>
      <c r="FK128" s="461"/>
      <c r="FL128" s="461"/>
      <c r="FM128" s="461"/>
      <c r="FN128" s="461"/>
      <c r="FO128" s="461"/>
      <c r="FP128" s="461"/>
      <c r="FQ128" s="461"/>
      <c r="FR128" s="461"/>
      <c r="FS128" s="461"/>
      <c r="FT128" s="461"/>
      <c r="FU128" s="461"/>
      <c r="FV128" s="461"/>
      <c r="FW128" s="461"/>
      <c r="FX128" s="461"/>
      <c r="FY128" s="461"/>
      <c r="FZ128" s="461"/>
      <c r="GA128" s="461"/>
      <c r="GB128" s="461"/>
      <c r="GC128" s="461"/>
      <c r="GD128" s="469"/>
      <c r="GE128" s="469"/>
      <c r="GF128" s="469"/>
      <c r="GG128" s="469"/>
      <c r="GH128" s="469"/>
      <c r="GI128" s="469"/>
      <c r="GJ128" s="469">
        <v>-1E-3</v>
      </c>
      <c r="GK128" s="469">
        <v>1E-3</v>
      </c>
      <c r="GL128" s="469">
        <v>213.56999500905596</v>
      </c>
      <c r="GM128" s="458"/>
      <c r="GN128" s="464"/>
      <c r="GO128" s="470"/>
      <c r="GP128" s="468"/>
    </row>
    <row r="129" spans="1:198" x14ac:dyDescent="0.25">
      <c r="A129" s="465" t="s">
        <v>2319</v>
      </c>
      <c r="B129" s="461">
        <v>2.3075438427391055E-3</v>
      </c>
      <c r="C129" s="461">
        <v>1.1368822727389817E-2</v>
      </c>
      <c r="D129" s="461">
        <v>5.4033951105427651E-4</v>
      </c>
      <c r="E129" s="461">
        <v>5.4844457167624481E-3</v>
      </c>
      <c r="F129" s="461">
        <v>1.4700998731941615E-2</v>
      </c>
      <c r="G129" s="461">
        <v>5.6086663586898686E-3</v>
      </c>
      <c r="H129" s="461">
        <v>5.040258679046416E-3</v>
      </c>
      <c r="I129" s="461">
        <v>2.969649251430488E-3</v>
      </c>
      <c r="J129" s="461">
        <v>5.6310823897099316E-4</v>
      </c>
      <c r="K129" s="461">
        <v>5.7682311901896162E-3</v>
      </c>
      <c r="L129" s="461">
        <v>1.666645325700294E-3</v>
      </c>
      <c r="M129" s="461">
        <v>8.5493232442598738E-3</v>
      </c>
      <c r="N129" s="461">
        <v>7.9409644456406615E-3</v>
      </c>
      <c r="O129" s="461">
        <v>9.8338154819187836E-4</v>
      </c>
      <c r="P129" s="461">
        <v>1.3296186579940701E-2</v>
      </c>
      <c r="Q129" s="461">
        <v>9.7288410251612518E-3</v>
      </c>
      <c r="R129" s="461">
        <v>2.894663640607021E-4</v>
      </c>
      <c r="S129" s="461"/>
      <c r="T129" s="461">
        <v>7.8718234747153087E-2</v>
      </c>
      <c r="U129" s="461">
        <v>1.7488005502856299E-2</v>
      </c>
      <c r="V129" s="461"/>
      <c r="W129" s="461"/>
      <c r="X129" s="461"/>
      <c r="Y129" s="461">
        <v>9.1866472506533896E-3</v>
      </c>
      <c r="Z129" s="461"/>
      <c r="AA129" s="461"/>
      <c r="AB129" s="461"/>
      <c r="AC129" s="461"/>
      <c r="AD129" s="461"/>
      <c r="AE129" s="461"/>
      <c r="AF129" s="461"/>
      <c r="AG129" s="461"/>
      <c r="AH129" s="461"/>
      <c r="AI129" s="461"/>
      <c r="AJ129" s="461"/>
      <c r="AK129" s="461"/>
      <c r="AL129" s="461"/>
      <c r="AM129" s="461"/>
      <c r="AN129" s="461">
        <v>1.5700799353130703E-3</v>
      </c>
      <c r="AO129" s="461">
        <v>2.755702638947968E-3</v>
      </c>
      <c r="AP129" s="461">
        <v>3.1340472221688719E-3</v>
      </c>
      <c r="AQ129" s="461"/>
      <c r="AR129" s="461">
        <v>6.7311840285545614E-4</v>
      </c>
      <c r="AS129" s="461">
        <v>1.3843181060909796E-2</v>
      </c>
      <c r="AT129" s="461">
        <v>0.12458862954818818</v>
      </c>
      <c r="AU129" s="461">
        <v>4.1407825076880081E-2</v>
      </c>
      <c r="AV129" s="461">
        <v>2.8796874778010796E-3</v>
      </c>
      <c r="AW129" s="461">
        <v>6.598315499445267E-4</v>
      </c>
      <c r="AX129" s="461"/>
      <c r="AY129" s="461"/>
      <c r="AZ129" s="461"/>
      <c r="BA129" s="461">
        <v>2.1547227213659592E-4</v>
      </c>
      <c r="BB129" s="461">
        <v>2.0206514550174417E-3</v>
      </c>
      <c r="BC129" s="461">
        <v>2.5548166664268078E-4</v>
      </c>
      <c r="BD129" s="461">
        <v>6.2853179814394294E-5</v>
      </c>
      <c r="BE129" s="461">
        <v>6.3067727338876611E-2</v>
      </c>
      <c r="BF129" s="461"/>
      <c r="BG129" s="461">
        <v>1.207992496900573E-3</v>
      </c>
      <c r="BH129" s="461"/>
      <c r="BI129" s="461"/>
      <c r="BJ129" s="461">
        <v>2.0133173905840895E-3</v>
      </c>
      <c r="BK129" s="481">
        <v>0.95562787361763291</v>
      </c>
      <c r="BL129" s="461">
        <v>3.5486448235352608E-4</v>
      </c>
      <c r="BM129" s="461">
        <v>2.0494921073270257E-2</v>
      </c>
      <c r="BN129" s="461">
        <v>2.3623723416247171E-2</v>
      </c>
      <c r="BO129" s="461">
        <v>3.1459654486136484E-4</v>
      </c>
      <c r="BP129" s="461"/>
      <c r="BQ129" s="461"/>
      <c r="BR129" s="461">
        <v>4.5339260584681051</v>
      </c>
      <c r="BS129" s="461">
        <v>4.1033366294511717</v>
      </c>
      <c r="BT129" s="461"/>
      <c r="BU129" s="461">
        <v>1.3297582897302665E-2</v>
      </c>
      <c r="BV129" s="461">
        <v>2.0826041242953631E-3</v>
      </c>
      <c r="BW129" s="461">
        <v>1.0809071247277686E-3</v>
      </c>
      <c r="BX129" s="461">
        <v>3.5054939489337938E-2</v>
      </c>
      <c r="BY129" s="461">
        <v>1.1220572440182675E-2</v>
      </c>
      <c r="BZ129" s="461">
        <v>1.1927387456789021E-2</v>
      </c>
      <c r="CA129" s="461"/>
      <c r="CB129" s="461"/>
      <c r="CC129" s="461"/>
      <c r="CD129" s="461"/>
      <c r="CE129" s="461"/>
      <c r="CF129" s="461"/>
      <c r="CG129" s="461"/>
      <c r="CH129" s="461"/>
      <c r="CI129" s="461"/>
      <c r="CJ129" s="461"/>
      <c r="CK129" s="461"/>
      <c r="CL129" s="461"/>
      <c r="CM129" s="461"/>
      <c r="CN129" s="461"/>
      <c r="CO129" s="461"/>
      <c r="CP129" s="461"/>
      <c r="CQ129" s="461"/>
      <c r="CR129" s="461"/>
      <c r="CS129" s="461"/>
      <c r="CT129" s="461"/>
      <c r="CU129" s="461"/>
      <c r="CV129" s="461"/>
      <c r="CW129" s="461"/>
      <c r="CX129" s="461"/>
      <c r="CY129" s="461"/>
      <c r="CZ129" s="461"/>
      <c r="DA129" s="461"/>
      <c r="DB129" s="461"/>
      <c r="DC129" s="461"/>
      <c r="DD129" s="461"/>
      <c r="DE129" s="461"/>
      <c r="DF129" s="461"/>
      <c r="DG129" s="461"/>
      <c r="DH129" s="461"/>
      <c r="DI129" s="461"/>
      <c r="DJ129" s="461"/>
      <c r="DK129" s="461"/>
      <c r="DL129" s="461"/>
      <c r="DM129" s="461"/>
      <c r="DN129" s="461"/>
      <c r="DO129" s="461"/>
      <c r="DP129" s="461"/>
      <c r="DQ129" s="461"/>
      <c r="DR129" s="461"/>
      <c r="DS129" s="461"/>
      <c r="DT129" s="461"/>
      <c r="DU129" s="461"/>
      <c r="DV129" s="461"/>
      <c r="DW129" s="461"/>
      <c r="DX129" s="461"/>
      <c r="DY129" s="461"/>
      <c r="DZ129" s="461"/>
      <c r="EA129" s="461"/>
      <c r="EB129" s="461"/>
      <c r="EC129" s="461"/>
      <c r="ED129" s="461"/>
      <c r="EE129" s="461"/>
      <c r="EF129" s="461"/>
      <c r="EG129" s="461"/>
      <c r="EH129" s="461"/>
      <c r="EI129" s="461"/>
      <c r="EJ129" s="461"/>
      <c r="EK129" s="461"/>
      <c r="EL129" s="461"/>
      <c r="EM129" s="461"/>
      <c r="EN129" s="461"/>
      <c r="EO129" s="461"/>
      <c r="EP129" s="461"/>
      <c r="EQ129" s="461"/>
      <c r="ER129" s="461"/>
      <c r="ES129" s="461"/>
      <c r="ET129" s="461"/>
      <c r="EU129" s="461"/>
      <c r="EV129" s="461"/>
      <c r="EW129" s="461"/>
      <c r="EX129" s="461"/>
      <c r="EY129" s="461"/>
      <c r="EZ129" s="461"/>
      <c r="FA129" s="461"/>
      <c r="FB129" s="461"/>
      <c r="FC129" s="461"/>
      <c r="FD129" s="461"/>
      <c r="FE129" s="461"/>
      <c r="FF129" s="461"/>
      <c r="FG129" s="461"/>
      <c r="FH129" s="461"/>
      <c r="FI129" s="461"/>
      <c r="FJ129" s="461"/>
      <c r="FK129" s="461"/>
      <c r="FL129" s="461"/>
      <c r="FM129" s="461"/>
      <c r="FN129" s="461"/>
      <c r="FO129" s="461"/>
      <c r="FP129" s="461"/>
      <c r="FQ129" s="461"/>
      <c r="FR129" s="461"/>
      <c r="FS129" s="461"/>
      <c r="FT129" s="461"/>
      <c r="FU129" s="461"/>
      <c r="FV129" s="461"/>
      <c r="FW129" s="461"/>
      <c r="FX129" s="461"/>
      <c r="FY129" s="461"/>
      <c r="FZ129" s="461"/>
      <c r="GA129" s="461"/>
      <c r="GB129" s="461"/>
      <c r="GC129" s="461"/>
      <c r="GD129" s="469"/>
      <c r="GE129" s="469"/>
      <c r="GF129" s="469"/>
      <c r="GG129" s="469"/>
      <c r="GH129" s="469"/>
      <c r="GI129" s="469"/>
      <c r="GJ129" s="469"/>
      <c r="GK129" s="469">
        <v>1E-3</v>
      </c>
      <c r="GL129" s="469">
        <v>10.175898019581091</v>
      </c>
      <c r="GM129" s="458"/>
      <c r="GN129" s="464"/>
      <c r="GO129" s="470"/>
      <c r="GP129" s="468"/>
    </row>
    <row r="130" spans="1:198" x14ac:dyDescent="0.25">
      <c r="A130" s="465" t="s">
        <v>2320</v>
      </c>
      <c r="B130" s="461">
        <v>2.2350312293319782E-2</v>
      </c>
      <c r="C130" s="461">
        <v>0.11029392684029107</v>
      </c>
      <c r="D130" s="461">
        <v>5.2319591187785352E-3</v>
      </c>
      <c r="E130" s="461">
        <v>5.3151414196943567E-2</v>
      </c>
      <c r="F130" s="461">
        <v>0.14270717046731279</v>
      </c>
      <c r="G130" s="461">
        <v>5.4356593160688471E-2</v>
      </c>
      <c r="H130" s="461">
        <v>4.8842711847509851E-2</v>
      </c>
      <c r="I130" s="461">
        <v>2.8766985471980987E-2</v>
      </c>
      <c r="J130" s="461">
        <v>5.45244613068698E-3</v>
      </c>
      <c r="K130" s="461">
        <v>5.5904931234374504E-2</v>
      </c>
      <c r="L130" s="461">
        <v>1.6140842286165351E-2</v>
      </c>
      <c r="M130" s="461">
        <v>8.2898244418172881E-2</v>
      </c>
      <c r="N130" s="461">
        <v>7.6992213207757121E-2</v>
      </c>
      <c r="O130" s="461">
        <v>9.5225149084979914E-3</v>
      </c>
      <c r="P130" s="461"/>
      <c r="Q130" s="461"/>
      <c r="R130" s="461"/>
      <c r="S130" s="461"/>
      <c r="T130" s="461"/>
      <c r="U130" s="461"/>
      <c r="V130" s="461"/>
      <c r="W130" s="461"/>
      <c r="X130" s="461"/>
      <c r="Y130" s="461"/>
      <c r="Z130" s="461"/>
      <c r="AA130" s="461"/>
      <c r="AB130" s="461"/>
      <c r="AC130" s="461"/>
      <c r="AD130" s="461"/>
      <c r="AE130" s="461"/>
      <c r="AF130" s="461"/>
      <c r="AG130" s="461"/>
      <c r="AH130" s="461"/>
      <c r="AI130" s="461"/>
      <c r="AJ130" s="461"/>
      <c r="AK130" s="461"/>
      <c r="AL130" s="461"/>
      <c r="AM130" s="461"/>
      <c r="AN130" s="461"/>
      <c r="AO130" s="461"/>
      <c r="AP130" s="461"/>
      <c r="AQ130" s="461"/>
      <c r="AR130" s="461"/>
      <c r="AS130" s="461"/>
      <c r="AT130" s="461"/>
      <c r="AU130" s="461"/>
      <c r="AV130" s="461"/>
      <c r="AW130" s="461"/>
      <c r="AX130" s="461"/>
      <c r="AY130" s="461"/>
      <c r="AZ130" s="461"/>
      <c r="BA130" s="461"/>
      <c r="BB130" s="461"/>
      <c r="BC130" s="461"/>
      <c r="BD130" s="461"/>
      <c r="BE130" s="461"/>
      <c r="BF130" s="461"/>
      <c r="BG130" s="461"/>
      <c r="BH130" s="461"/>
      <c r="BI130" s="461"/>
      <c r="BJ130" s="461"/>
      <c r="BK130" s="481">
        <v>0.64122292965119931</v>
      </c>
      <c r="BL130" s="461">
        <v>6.4359379794571799E-4</v>
      </c>
      <c r="BM130" s="461">
        <v>3.7185212489774411E-2</v>
      </c>
      <c r="BN130" s="461">
        <v>4.2864657036694551E-2</v>
      </c>
      <c r="BO130" s="461">
        <v>5.7056209249913101E-4</v>
      </c>
      <c r="BP130" s="461"/>
      <c r="BQ130" s="461"/>
      <c r="BR130" s="461">
        <v>11.582247449479329</v>
      </c>
      <c r="BS130" s="461">
        <v>8.7021280653799717</v>
      </c>
      <c r="BT130" s="461"/>
      <c r="BU130" s="461">
        <v>2.4123311879678679E-2</v>
      </c>
      <c r="BV130" s="461">
        <v>3.7772092114098095E-3</v>
      </c>
      <c r="BW130" s="461">
        <v>1.960396829050237E-3</v>
      </c>
      <c r="BX130" s="461">
        <v>6.362080984917215E-2</v>
      </c>
      <c r="BY130" s="461">
        <v>2.0354406467020605E-2</v>
      </c>
      <c r="BZ130" s="461">
        <v>2.1636898639584973E-2</v>
      </c>
      <c r="CA130" s="461"/>
      <c r="CB130" s="461"/>
      <c r="CC130" s="461"/>
      <c r="CD130" s="461"/>
      <c r="CE130" s="461"/>
      <c r="CF130" s="461"/>
      <c r="CG130" s="461"/>
      <c r="CH130" s="461"/>
      <c r="CI130" s="461"/>
      <c r="CJ130" s="461"/>
      <c r="CK130" s="461"/>
      <c r="CL130" s="461"/>
      <c r="CM130" s="461"/>
      <c r="CN130" s="461"/>
      <c r="CO130" s="461"/>
      <c r="CP130" s="461"/>
      <c r="CQ130" s="461"/>
      <c r="CR130" s="461"/>
      <c r="CS130" s="461"/>
      <c r="CT130" s="461"/>
      <c r="CU130" s="461"/>
      <c r="CV130" s="461"/>
      <c r="CW130" s="461"/>
      <c r="CX130" s="461"/>
      <c r="CY130" s="461"/>
      <c r="CZ130" s="461"/>
      <c r="DA130" s="461"/>
      <c r="DB130" s="461"/>
      <c r="DC130" s="461"/>
      <c r="DD130" s="461"/>
      <c r="DE130" s="461"/>
      <c r="DF130" s="461"/>
      <c r="DG130" s="461"/>
      <c r="DH130" s="461"/>
      <c r="DI130" s="461"/>
      <c r="DJ130" s="461"/>
      <c r="DK130" s="461"/>
      <c r="DL130" s="461"/>
      <c r="DM130" s="461"/>
      <c r="DN130" s="461"/>
      <c r="DO130" s="461"/>
      <c r="DP130" s="461"/>
      <c r="DQ130" s="461"/>
      <c r="DR130" s="461"/>
      <c r="DS130" s="461"/>
      <c r="DT130" s="461"/>
      <c r="DU130" s="461"/>
      <c r="DV130" s="461"/>
      <c r="DW130" s="461"/>
      <c r="DX130" s="461"/>
      <c r="DY130" s="461"/>
      <c r="DZ130" s="461"/>
      <c r="EA130" s="461"/>
      <c r="EB130" s="461"/>
      <c r="EC130" s="461"/>
      <c r="ED130" s="461"/>
      <c r="EE130" s="461"/>
      <c r="EF130" s="461"/>
      <c r="EG130" s="461"/>
      <c r="EH130" s="461"/>
      <c r="EI130" s="461"/>
      <c r="EJ130" s="461"/>
      <c r="EK130" s="461"/>
      <c r="EL130" s="461"/>
      <c r="EM130" s="461"/>
      <c r="EN130" s="461"/>
      <c r="EO130" s="461"/>
      <c r="EP130" s="461"/>
      <c r="EQ130" s="461"/>
      <c r="ER130" s="461"/>
      <c r="ES130" s="461"/>
      <c r="ET130" s="461"/>
      <c r="EU130" s="461"/>
      <c r="EV130" s="461"/>
      <c r="EW130" s="461"/>
      <c r="EX130" s="461"/>
      <c r="EY130" s="461"/>
      <c r="EZ130" s="461"/>
      <c r="FA130" s="461"/>
      <c r="FB130" s="461"/>
      <c r="FC130" s="461"/>
      <c r="FD130" s="461"/>
      <c r="FE130" s="461"/>
      <c r="FF130" s="461"/>
      <c r="FG130" s="461"/>
      <c r="FH130" s="461"/>
      <c r="FI130" s="461"/>
      <c r="FJ130" s="461"/>
      <c r="FK130" s="461"/>
      <c r="FL130" s="461"/>
      <c r="FM130" s="461"/>
      <c r="FN130" s="461"/>
      <c r="FO130" s="461"/>
      <c r="FP130" s="461">
        <v>0.10805607018126955</v>
      </c>
      <c r="FQ130" s="461">
        <v>0.17917685675566028</v>
      </c>
      <c r="FR130" s="461">
        <v>0.32387346934510702</v>
      </c>
      <c r="FS130" s="461">
        <v>0.48299938064960823</v>
      </c>
      <c r="FT130" s="461">
        <v>0.53793561329821415</v>
      </c>
      <c r="FU130" s="461">
        <v>0.67518234233224539</v>
      </c>
      <c r="FV130" s="461">
        <v>0.94952740865872021</v>
      </c>
      <c r="FW130" s="461">
        <v>1.8392675620461854</v>
      </c>
      <c r="FX130" s="461">
        <v>6.8061058039030634E-2</v>
      </c>
      <c r="FY130" s="461">
        <v>0.11095791894271621</v>
      </c>
      <c r="FZ130" s="461"/>
      <c r="GA130" s="461"/>
      <c r="GB130" s="461"/>
      <c r="GC130" s="461"/>
      <c r="GD130" s="469"/>
      <c r="GE130" s="469"/>
      <c r="GF130" s="469"/>
      <c r="GG130" s="469"/>
      <c r="GH130" s="469"/>
      <c r="GI130" s="469"/>
      <c r="GJ130" s="469">
        <v>1E-3</v>
      </c>
      <c r="GK130" s="469">
        <v>1.555578443966855</v>
      </c>
      <c r="GL130" s="469">
        <v>28.686563892601423</v>
      </c>
      <c r="GM130" s="458"/>
      <c r="GN130" s="464"/>
      <c r="GO130" s="470"/>
      <c r="GP130" s="468"/>
    </row>
    <row r="131" spans="1:198" x14ac:dyDescent="0.25">
      <c r="A131" s="465" t="s">
        <v>2321</v>
      </c>
      <c r="B131" s="461">
        <v>6.5994698888791569E-4</v>
      </c>
      <c r="C131" s="461">
        <v>3.2509487076226558E-3</v>
      </c>
      <c r="D131" s="461">
        <v>1.5453907083854589E-4</v>
      </c>
      <c r="E131" s="461">
        <v>1.5684441669759715E-3</v>
      </c>
      <c r="F131" s="461">
        <v>4.2035610406860081E-3</v>
      </c>
      <c r="G131" s="461">
        <v>1.6039652994995325E-3</v>
      </c>
      <c r="H131" s="461">
        <v>1.4414260435104934E-3</v>
      </c>
      <c r="I131" s="461">
        <v>8.4929622183616666E-4</v>
      </c>
      <c r="J131" s="461">
        <v>1.610509463831603E-4</v>
      </c>
      <c r="K131" s="461">
        <v>1.6495925362163945E-3</v>
      </c>
      <c r="L131" s="461">
        <v>4.7665802895898704E-4</v>
      </c>
      <c r="M131" s="461">
        <v>2.4448192376886665E-3</v>
      </c>
      <c r="N131" s="461">
        <v>2.2708686289818259E-3</v>
      </c>
      <c r="O131" s="461">
        <v>2.8124879559133749E-4</v>
      </c>
      <c r="P131" s="461">
        <v>0.19775705549110947</v>
      </c>
      <c r="Q131" s="461">
        <v>0.14461504130561409</v>
      </c>
      <c r="R131" s="461"/>
      <c r="S131" s="461"/>
      <c r="T131" s="461">
        <v>1.1693714558639805</v>
      </c>
      <c r="U131" s="461">
        <v>0.26423058124238247</v>
      </c>
      <c r="V131" s="461"/>
      <c r="W131" s="461"/>
      <c r="X131" s="461"/>
      <c r="Y131" s="461"/>
      <c r="Z131" s="461"/>
      <c r="AA131" s="461"/>
      <c r="AB131" s="461"/>
      <c r="AC131" s="461"/>
      <c r="AD131" s="461"/>
      <c r="AE131" s="461"/>
      <c r="AF131" s="461"/>
      <c r="AG131" s="461"/>
      <c r="AH131" s="461"/>
      <c r="AI131" s="461"/>
      <c r="AJ131" s="461"/>
      <c r="AK131" s="461"/>
      <c r="AL131" s="461"/>
      <c r="AM131" s="461"/>
      <c r="AN131" s="461"/>
      <c r="AO131" s="461"/>
      <c r="AP131" s="461"/>
      <c r="AQ131" s="461"/>
      <c r="AR131" s="461"/>
      <c r="AS131" s="461"/>
      <c r="AT131" s="461"/>
      <c r="AU131" s="461"/>
      <c r="AV131" s="461"/>
      <c r="AW131" s="461"/>
      <c r="AX131" s="461"/>
      <c r="AY131" s="461">
        <v>0.59188622532060275</v>
      </c>
      <c r="AZ131" s="461">
        <v>2.3604247735772375</v>
      </c>
      <c r="BA131" s="461"/>
      <c r="BB131" s="461"/>
      <c r="BC131" s="461"/>
      <c r="BD131" s="461"/>
      <c r="BE131" s="461"/>
      <c r="BF131" s="461"/>
      <c r="BG131" s="461"/>
      <c r="BH131" s="461"/>
      <c r="BI131" s="461"/>
      <c r="BJ131" s="461"/>
      <c r="BK131" s="480"/>
      <c r="BL131" s="461">
        <v>1.3279141016546694E-3</v>
      </c>
      <c r="BM131" s="461">
        <v>7.6669629429087977E-2</v>
      </c>
      <c r="BN131" s="461">
        <v>8.8369989234691776E-2</v>
      </c>
      <c r="BO131" s="461">
        <v>1.1772309038724095E-3</v>
      </c>
      <c r="BP131" s="461"/>
      <c r="BQ131" s="461"/>
      <c r="BR131" s="461"/>
      <c r="BS131" s="461"/>
      <c r="BT131" s="461"/>
      <c r="BU131" s="461">
        <v>4.9751383472260213E-2</v>
      </c>
      <c r="BV131" s="461">
        <v>7.7929697408881445E-3</v>
      </c>
      <c r="BW131" s="461">
        <v>4.0447445806209292E-3</v>
      </c>
      <c r="BX131" s="461">
        <v>0.13110874381556761</v>
      </c>
      <c r="BY131" s="461">
        <v>4.1980879454737011E-2</v>
      </c>
      <c r="BZ131" s="461">
        <v>4.462494452538418E-2</v>
      </c>
      <c r="CA131" s="461"/>
      <c r="CB131" s="461"/>
      <c r="CC131" s="461"/>
      <c r="CD131" s="461"/>
      <c r="CE131" s="461"/>
      <c r="CF131" s="461"/>
      <c r="CG131" s="461"/>
      <c r="CH131" s="461"/>
      <c r="CI131" s="461"/>
      <c r="CJ131" s="461"/>
      <c r="CK131" s="461"/>
      <c r="CL131" s="461"/>
      <c r="CM131" s="461"/>
      <c r="CN131" s="461"/>
      <c r="CO131" s="461"/>
      <c r="CP131" s="461"/>
      <c r="CQ131" s="461"/>
      <c r="CR131" s="461"/>
      <c r="CS131" s="461"/>
      <c r="CT131" s="461"/>
      <c r="CU131" s="461"/>
      <c r="CV131" s="461"/>
      <c r="CW131" s="461"/>
      <c r="CX131" s="461"/>
      <c r="CY131" s="461"/>
      <c r="CZ131" s="461"/>
      <c r="DA131" s="461"/>
      <c r="DB131" s="461"/>
      <c r="DC131" s="461"/>
      <c r="DD131" s="461"/>
      <c r="DE131" s="461"/>
      <c r="DF131" s="461"/>
      <c r="DG131" s="461"/>
      <c r="DH131" s="461"/>
      <c r="DI131" s="461"/>
      <c r="DJ131" s="461"/>
      <c r="DK131" s="461"/>
      <c r="DL131" s="461"/>
      <c r="DM131" s="461"/>
      <c r="DN131" s="461"/>
      <c r="DO131" s="461"/>
      <c r="DP131" s="461"/>
      <c r="DQ131" s="461"/>
      <c r="DR131" s="461"/>
      <c r="DS131" s="461"/>
      <c r="DT131" s="461"/>
      <c r="DU131" s="461"/>
      <c r="DV131" s="461"/>
      <c r="DW131" s="461"/>
      <c r="DX131" s="461"/>
      <c r="DY131" s="461"/>
      <c r="DZ131" s="461"/>
      <c r="EA131" s="461"/>
      <c r="EB131" s="461"/>
      <c r="EC131" s="461"/>
      <c r="ED131" s="461"/>
      <c r="EE131" s="461"/>
      <c r="EF131" s="461"/>
      <c r="EG131" s="461"/>
      <c r="EH131" s="461"/>
      <c r="EI131" s="461"/>
      <c r="EJ131" s="461"/>
      <c r="EK131" s="461"/>
      <c r="EL131" s="461"/>
      <c r="EM131" s="461"/>
      <c r="EN131" s="461"/>
      <c r="EO131" s="461"/>
      <c r="EP131" s="461"/>
      <c r="EQ131" s="461"/>
      <c r="ER131" s="461"/>
      <c r="ES131" s="461"/>
      <c r="ET131" s="461"/>
      <c r="EU131" s="461"/>
      <c r="EV131" s="461"/>
      <c r="EW131" s="461"/>
      <c r="EX131" s="461"/>
      <c r="EY131" s="461"/>
      <c r="EZ131" s="461"/>
      <c r="FA131" s="461"/>
      <c r="FB131" s="461"/>
      <c r="FC131" s="461"/>
      <c r="FD131" s="461"/>
      <c r="FE131" s="461"/>
      <c r="FF131" s="461"/>
      <c r="FG131" s="461"/>
      <c r="FH131" s="461"/>
      <c r="FI131" s="461"/>
      <c r="FJ131" s="461"/>
      <c r="FK131" s="461"/>
      <c r="FL131" s="461"/>
      <c r="FM131" s="461"/>
      <c r="FN131" s="461"/>
      <c r="FO131" s="461"/>
      <c r="FP131" s="461">
        <v>0.17887673354613121</v>
      </c>
      <c r="FQ131" s="461">
        <v>0.2962005745248299</v>
      </c>
      <c r="FR131" s="461">
        <v>0.53389326222033773</v>
      </c>
      <c r="FS131" s="461">
        <v>0.7937661814309932</v>
      </c>
      <c r="FT131" s="461">
        <v>0.88310076020066186</v>
      </c>
      <c r="FU131" s="461">
        <v>0.60568373494779615</v>
      </c>
      <c r="FV131" s="461">
        <v>0.84739638154811869</v>
      </c>
      <c r="FW131" s="461">
        <v>1.6148451670085229</v>
      </c>
      <c r="FX131" s="461">
        <v>1.8621897593324055</v>
      </c>
      <c r="FY131" s="461">
        <v>3.0348469682157386</v>
      </c>
      <c r="FZ131" s="461"/>
      <c r="GA131" s="461"/>
      <c r="GB131" s="461"/>
      <c r="GC131" s="461"/>
      <c r="GD131" s="469"/>
      <c r="GE131" s="469"/>
      <c r="GF131" s="469"/>
      <c r="GG131" s="469"/>
      <c r="GH131" s="469"/>
      <c r="GI131" s="469"/>
      <c r="GJ131" s="469">
        <v>1E-3</v>
      </c>
      <c r="GK131" s="469">
        <v>1.2815107858139498</v>
      </c>
      <c r="GL131" s="469">
        <v>17.129460236562856</v>
      </c>
      <c r="GM131" s="458"/>
      <c r="GN131" s="464"/>
      <c r="GO131" s="470"/>
      <c r="GP131" s="468"/>
    </row>
    <row r="132" spans="1:198" x14ac:dyDescent="0.25">
      <c r="A132" s="465" t="s">
        <v>1593</v>
      </c>
      <c r="B132" s="461"/>
      <c r="C132" s="461"/>
      <c r="D132" s="461"/>
      <c r="E132" s="461"/>
      <c r="F132" s="461"/>
      <c r="G132" s="461"/>
      <c r="H132" s="461"/>
      <c r="I132" s="461"/>
      <c r="J132" s="461"/>
      <c r="K132" s="461"/>
      <c r="L132" s="461"/>
      <c r="M132" s="461"/>
      <c r="N132" s="461"/>
      <c r="O132" s="461"/>
      <c r="P132" s="461"/>
      <c r="Q132" s="461">
        <v>8.333341666666666E-2</v>
      </c>
      <c r="R132" s="461"/>
      <c r="S132" s="461"/>
      <c r="T132" s="461">
        <v>8.333341666666666E-2</v>
      </c>
      <c r="U132" s="461">
        <v>8.333341666666666E-2</v>
      </c>
      <c r="V132" s="461"/>
      <c r="W132" s="461"/>
      <c r="X132" s="461"/>
      <c r="Y132" s="461"/>
      <c r="Z132" s="461"/>
      <c r="AA132" s="461"/>
      <c r="AB132" s="461"/>
      <c r="AC132" s="461"/>
      <c r="AD132" s="461"/>
      <c r="AE132" s="461"/>
      <c r="AF132" s="461"/>
      <c r="AG132" s="461"/>
      <c r="AH132" s="461">
        <v>8.333341666666666E-2</v>
      </c>
      <c r="AI132" s="461"/>
      <c r="AJ132" s="461"/>
      <c r="AK132" s="461"/>
      <c r="AL132" s="461"/>
      <c r="AM132" s="461"/>
      <c r="AN132" s="461"/>
      <c r="AO132" s="461"/>
      <c r="AP132" s="461"/>
      <c r="AQ132" s="461">
        <v>8.333341666666666E-2</v>
      </c>
      <c r="AR132" s="461"/>
      <c r="AS132" s="461">
        <v>8.333341666666666E-2</v>
      </c>
      <c r="AT132" s="461">
        <v>8.333341666666666E-2</v>
      </c>
      <c r="AU132" s="461">
        <v>8.333341666666666E-2</v>
      </c>
      <c r="AV132" s="461"/>
      <c r="AW132" s="461"/>
      <c r="AX132" s="461"/>
      <c r="AY132" s="461">
        <v>8.333341666666666E-2</v>
      </c>
      <c r="AZ132" s="461"/>
      <c r="BA132" s="461"/>
      <c r="BB132" s="461">
        <v>8.333341666666666E-2</v>
      </c>
      <c r="BC132" s="461"/>
      <c r="BD132" s="461"/>
      <c r="BE132" s="461"/>
      <c r="BF132" s="461"/>
      <c r="BG132" s="461"/>
      <c r="BH132" s="461"/>
      <c r="BI132" s="461"/>
      <c r="BJ132" s="461"/>
      <c r="BK132" s="480">
        <v>8.333341666666666E-2</v>
      </c>
      <c r="BL132" s="461"/>
      <c r="BM132" s="461"/>
      <c r="BN132" s="461"/>
      <c r="BO132" s="461"/>
      <c r="BP132" s="461"/>
      <c r="BQ132" s="461">
        <v>8.333341666666666E-2</v>
      </c>
      <c r="BR132" s="461"/>
      <c r="BS132" s="461"/>
      <c r="BT132" s="461">
        <v>1E-10</v>
      </c>
      <c r="BU132" s="461"/>
      <c r="BV132" s="461"/>
      <c r="BW132" s="461"/>
      <c r="BX132" s="461"/>
      <c r="BY132" s="461"/>
      <c r="BZ132" s="461"/>
      <c r="CA132" s="461"/>
      <c r="CB132" s="461"/>
      <c r="CC132" s="461"/>
      <c r="CD132" s="461"/>
      <c r="CE132" s="461"/>
      <c r="CF132" s="461"/>
      <c r="CG132" s="461"/>
      <c r="CH132" s="461"/>
      <c r="CI132" s="461"/>
      <c r="CJ132" s="461"/>
      <c r="CK132" s="461"/>
      <c r="CL132" s="461"/>
      <c r="CM132" s="461"/>
      <c r="CN132" s="461"/>
      <c r="CO132" s="461"/>
      <c r="CP132" s="461"/>
      <c r="CQ132" s="461"/>
      <c r="CR132" s="461"/>
      <c r="CS132" s="461"/>
      <c r="CT132" s="461"/>
      <c r="CU132" s="461"/>
      <c r="CV132" s="461"/>
      <c r="CW132" s="461"/>
      <c r="CX132" s="461"/>
      <c r="CY132" s="461"/>
      <c r="CZ132" s="461"/>
      <c r="DA132" s="461"/>
      <c r="DB132" s="461"/>
      <c r="DC132" s="461"/>
      <c r="DD132" s="461"/>
      <c r="DE132" s="461"/>
      <c r="DF132" s="461"/>
      <c r="DG132" s="461"/>
      <c r="DH132" s="461"/>
      <c r="DI132" s="461"/>
      <c r="DJ132" s="461"/>
      <c r="DK132" s="461"/>
      <c r="DL132" s="461"/>
      <c r="DM132" s="461"/>
      <c r="DN132" s="461"/>
      <c r="DO132" s="461"/>
      <c r="DP132" s="461"/>
      <c r="DQ132" s="461"/>
      <c r="DR132" s="461"/>
      <c r="DS132" s="461"/>
      <c r="DT132" s="461"/>
      <c r="DU132" s="461"/>
      <c r="DV132" s="461"/>
      <c r="DW132" s="461"/>
      <c r="DX132" s="461"/>
      <c r="DY132" s="461"/>
      <c r="DZ132" s="461"/>
      <c r="EA132" s="461"/>
      <c r="EB132" s="461"/>
      <c r="EC132" s="461"/>
      <c r="ED132" s="461"/>
      <c r="EE132" s="461"/>
      <c r="EF132" s="461"/>
      <c r="EG132" s="461"/>
      <c r="EH132" s="461"/>
      <c r="EI132" s="461"/>
      <c r="EJ132" s="461"/>
      <c r="EK132" s="461"/>
      <c r="EL132" s="461"/>
      <c r="EM132" s="461"/>
      <c r="EN132" s="461"/>
      <c r="EO132" s="461"/>
      <c r="EP132" s="461"/>
      <c r="EQ132" s="461"/>
      <c r="ER132" s="461"/>
      <c r="ES132" s="461"/>
      <c r="ET132" s="461"/>
      <c r="EU132" s="461"/>
      <c r="EV132" s="461"/>
      <c r="EW132" s="461"/>
      <c r="EX132" s="461"/>
      <c r="EY132" s="461"/>
      <c r="EZ132" s="461"/>
      <c r="FA132" s="461"/>
      <c r="FB132" s="461"/>
      <c r="FC132" s="461"/>
      <c r="FD132" s="461"/>
      <c r="FE132" s="461"/>
      <c r="FF132" s="461"/>
      <c r="FG132" s="461"/>
      <c r="FH132" s="461"/>
      <c r="FI132" s="461"/>
      <c r="FJ132" s="461"/>
      <c r="FK132" s="461"/>
      <c r="FL132" s="461"/>
      <c r="FM132" s="461"/>
      <c r="FN132" s="461"/>
      <c r="FO132" s="461"/>
      <c r="FP132" s="461"/>
      <c r="FQ132" s="461"/>
      <c r="FR132" s="461"/>
      <c r="FS132" s="461"/>
      <c r="FT132" s="461"/>
      <c r="FU132" s="461"/>
      <c r="FV132" s="461"/>
      <c r="FW132" s="461"/>
      <c r="FX132" s="461"/>
      <c r="FY132" s="461"/>
      <c r="FZ132" s="461"/>
      <c r="GA132" s="461"/>
      <c r="GB132" s="461"/>
      <c r="GC132" s="461"/>
      <c r="GD132" s="469"/>
      <c r="GE132" s="469"/>
      <c r="GF132" s="469"/>
      <c r="GG132" s="469"/>
      <c r="GH132" s="469"/>
      <c r="GI132" s="469"/>
      <c r="GJ132" s="469"/>
      <c r="GK132" s="469">
        <v>9.9999999999999995E-7</v>
      </c>
      <c r="GL132" s="469">
        <v>1.0000020000999996</v>
      </c>
      <c r="GM132" s="458"/>
      <c r="GN132" s="464"/>
      <c r="GO132" s="470"/>
      <c r="GP132" s="468"/>
    </row>
    <row r="133" spans="1:198" x14ac:dyDescent="0.25">
      <c r="A133" s="465" t="s">
        <v>2322</v>
      </c>
      <c r="B133" s="461"/>
      <c r="C133" s="461"/>
      <c r="D133" s="461"/>
      <c r="E133" s="461"/>
      <c r="F133" s="461"/>
      <c r="G133" s="461"/>
      <c r="H133" s="461"/>
      <c r="I133" s="461"/>
      <c r="J133" s="461"/>
      <c r="K133" s="461"/>
      <c r="L133" s="461"/>
      <c r="M133" s="461"/>
      <c r="N133" s="461"/>
      <c r="O133" s="461"/>
      <c r="P133" s="461">
        <v>1.8734628661698928E-2</v>
      </c>
      <c r="Q133" s="461">
        <v>2.7641983947325775E-2</v>
      </c>
      <c r="R133" s="461">
        <v>1.3190294054608192E-3</v>
      </c>
      <c r="S133" s="461">
        <v>0.11647248448613227</v>
      </c>
      <c r="T133" s="461">
        <v>0.10640926252747927</v>
      </c>
      <c r="U133" s="461">
        <v>7.9688683609163008E-2</v>
      </c>
      <c r="V133" s="461">
        <v>9.6639520570718923E-3</v>
      </c>
      <c r="W133" s="461">
        <v>3.1987218487949366E-2</v>
      </c>
      <c r="X133" s="461">
        <v>0.11489011771940387</v>
      </c>
      <c r="Y133" s="461">
        <v>2.371095872874015E-3</v>
      </c>
      <c r="Z133" s="461">
        <v>0.10575278306724251</v>
      </c>
      <c r="AA133" s="461">
        <v>6.4316464412049372E-3</v>
      </c>
      <c r="AB133" s="461"/>
      <c r="AC133" s="461">
        <v>3.7317255892774632E-3</v>
      </c>
      <c r="AD133" s="461">
        <v>1.6543837189703803E-2</v>
      </c>
      <c r="AE133" s="461">
        <v>3.1791508669112005E-2</v>
      </c>
      <c r="AF133" s="461">
        <v>2.4053869516346684E-3</v>
      </c>
      <c r="AG133" s="461"/>
      <c r="AH133" s="461">
        <v>7.18753168736318E-2</v>
      </c>
      <c r="AI133" s="461">
        <v>0.27995197584249043</v>
      </c>
      <c r="AJ133" s="461">
        <v>0.36431465253348444</v>
      </c>
      <c r="AK133" s="461">
        <v>6.4590409016441253E-2</v>
      </c>
      <c r="AL133" s="461">
        <v>3.3913489441072947E-2</v>
      </c>
      <c r="AM133" s="461">
        <v>7.6609405675081482E-2</v>
      </c>
      <c r="AN133" s="461">
        <v>6.9601592726661901E-2</v>
      </c>
      <c r="AO133" s="461">
        <v>0.6405433214107753</v>
      </c>
      <c r="AP133" s="461">
        <v>4.260621207263094E-2</v>
      </c>
      <c r="AQ133" s="461">
        <v>1.4821550993009598</v>
      </c>
      <c r="AR133" s="461">
        <v>2.9487379318062935E-2</v>
      </c>
      <c r="AS133" s="461"/>
      <c r="AT133" s="461">
        <v>6.0642990769534473</v>
      </c>
      <c r="AU133" s="461">
        <v>4.7166604074461578</v>
      </c>
      <c r="AV133" s="461">
        <v>0.67877483553788942</v>
      </c>
      <c r="AW133" s="461">
        <v>1.6246427021808609</v>
      </c>
      <c r="AX133" s="461">
        <v>7.2368826498790034E-2</v>
      </c>
      <c r="AY133" s="461">
        <v>0.2680200989142793</v>
      </c>
      <c r="AZ133" s="461">
        <v>0.95500476626382225</v>
      </c>
      <c r="BA133" s="461">
        <v>3.613477405762E-2</v>
      </c>
      <c r="BB133" s="461">
        <v>0.17283810885001155</v>
      </c>
      <c r="BC133" s="461">
        <v>2.0112766781383695E-3</v>
      </c>
      <c r="BD133" s="461">
        <v>4.9481098338196629E-4</v>
      </c>
      <c r="BE133" s="461">
        <v>0.16655657439678276</v>
      </c>
      <c r="BF133" s="461">
        <v>5.6663655149120744E-2</v>
      </c>
      <c r="BG133" s="461">
        <v>0.2099564926013682</v>
      </c>
      <c r="BH133" s="461">
        <v>2.055418342066768E-3</v>
      </c>
      <c r="BI133" s="461">
        <v>9.0516890749663112E-2</v>
      </c>
      <c r="BJ133" s="461">
        <v>0.16379461021762298</v>
      </c>
      <c r="BK133" s="480">
        <v>2.4978450761342107E-2</v>
      </c>
      <c r="BL133" s="461">
        <v>4.2907388857372594E-2</v>
      </c>
      <c r="BM133" s="461"/>
      <c r="BN133" s="461"/>
      <c r="BO133" s="461"/>
      <c r="BP133" s="461">
        <v>3.3769945004427618E-3</v>
      </c>
      <c r="BQ133" s="461">
        <v>1.1294242970511558E-2</v>
      </c>
      <c r="BR133" s="461">
        <v>2.0445675500092276E-3</v>
      </c>
      <c r="BS133" s="461">
        <v>1.883575046338664E-3</v>
      </c>
      <c r="BT133" s="461"/>
      <c r="BU133" s="461">
        <v>4.8865591666078E-3</v>
      </c>
      <c r="BV133" s="461">
        <v>3.1624448388404517E-4</v>
      </c>
      <c r="BW133" s="461">
        <v>2.7133494762433157E-4</v>
      </c>
      <c r="BX133" s="461">
        <v>1.2837423048513709E-2</v>
      </c>
      <c r="BY133" s="461">
        <v>4.7896395536731452E-2</v>
      </c>
      <c r="BZ133" s="461">
        <v>0.33265420541907359</v>
      </c>
      <c r="CA133" s="461"/>
      <c r="CB133" s="461"/>
      <c r="CC133" s="461"/>
      <c r="CD133" s="461"/>
      <c r="CE133" s="461"/>
      <c r="CF133" s="461"/>
      <c r="CG133" s="461"/>
      <c r="CH133" s="461"/>
      <c r="CI133" s="461"/>
      <c r="CJ133" s="461"/>
      <c r="CK133" s="461"/>
      <c r="CL133" s="461"/>
      <c r="CM133" s="461"/>
      <c r="CN133" s="461"/>
      <c r="CO133" s="461"/>
      <c r="CP133" s="461"/>
      <c r="CQ133" s="461"/>
      <c r="CR133" s="461"/>
      <c r="CS133" s="461"/>
      <c r="CT133" s="461"/>
      <c r="CU133" s="461"/>
      <c r="CV133" s="461"/>
      <c r="CW133" s="461"/>
      <c r="CX133" s="461"/>
      <c r="CY133" s="461"/>
      <c r="CZ133" s="461"/>
      <c r="DA133" s="461"/>
      <c r="DB133" s="461"/>
      <c r="DC133" s="461"/>
      <c r="DD133" s="461"/>
      <c r="DE133" s="461"/>
      <c r="DF133" s="461"/>
      <c r="DG133" s="461"/>
      <c r="DH133" s="461"/>
      <c r="DI133" s="461"/>
      <c r="DJ133" s="461"/>
      <c r="DK133" s="461"/>
      <c r="DL133" s="461"/>
      <c r="DM133" s="461"/>
      <c r="DN133" s="461"/>
      <c r="DO133" s="461"/>
      <c r="DP133" s="461"/>
      <c r="DQ133" s="461"/>
      <c r="DR133" s="461"/>
      <c r="DS133" s="461"/>
      <c r="DT133" s="461"/>
      <c r="DU133" s="461"/>
      <c r="DV133" s="461"/>
      <c r="DW133" s="461"/>
      <c r="DX133" s="461"/>
      <c r="DY133" s="461"/>
      <c r="DZ133" s="461"/>
      <c r="EA133" s="461"/>
      <c r="EB133" s="461"/>
      <c r="EC133" s="461"/>
      <c r="ED133" s="461"/>
      <c r="EE133" s="461"/>
      <c r="EF133" s="461"/>
      <c r="EG133" s="461"/>
      <c r="EH133" s="461"/>
      <c r="EI133" s="461"/>
      <c r="EJ133" s="461"/>
      <c r="EK133" s="461"/>
      <c r="EL133" s="461"/>
      <c r="EM133" s="461"/>
      <c r="EN133" s="461"/>
      <c r="EO133" s="461"/>
      <c r="EP133" s="461"/>
      <c r="EQ133" s="461"/>
      <c r="ER133" s="461"/>
      <c r="ES133" s="461"/>
      <c r="ET133" s="461"/>
      <c r="EU133" s="461"/>
      <c r="EV133" s="461"/>
      <c r="EW133" s="461"/>
      <c r="EX133" s="461"/>
      <c r="EY133" s="461"/>
      <c r="EZ133" s="461"/>
      <c r="FA133" s="461"/>
      <c r="FB133" s="461"/>
      <c r="FC133" s="461"/>
      <c r="FD133" s="461"/>
      <c r="FE133" s="461"/>
      <c r="FF133" s="461"/>
      <c r="FG133" s="461"/>
      <c r="FH133" s="461"/>
      <c r="FI133" s="461"/>
      <c r="FJ133" s="461"/>
      <c r="FK133" s="461"/>
      <c r="FL133" s="461"/>
      <c r="FM133" s="461"/>
      <c r="FN133" s="461"/>
      <c r="FO133" s="461"/>
      <c r="FP133" s="461">
        <v>4.2582196540405428E-4</v>
      </c>
      <c r="FQ133" s="461">
        <v>1.5002782089123189E-3</v>
      </c>
      <c r="FR133" s="461">
        <v>4.4217433825738707E-3</v>
      </c>
      <c r="FS133" s="461">
        <v>6.5814364336033429E-3</v>
      </c>
      <c r="FT133" s="461">
        <v>2.8739201380464196E-3</v>
      </c>
      <c r="FU133" s="461">
        <v>1.1043427284993993E-2</v>
      </c>
      <c r="FV133" s="461">
        <v>8.8292667084413044E-3</v>
      </c>
      <c r="FW133" s="461">
        <v>8.5364545523521646E-3</v>
      </c>
      <c r="FX133" s="461">
        <v>2.4234887434552207E-2</v>
      </c>
      <c r="FY133" s="461">
        <v>4.7454848330096305E-2</v>
      </c>
      <c r="FZ133" s="461"/>
      <c r="GA133" s="461"/>
      <c r="GB133" s="461"/>
      <c r="GC133" s="461"/>
      <c r="GD133" s="469"/>
      <c r="GE133" s="469"/>
      <c r="GF133" s="469"/>
      <c r="GG133" s="469"/>
      <c r="GH133" s="469"/>
      <c r="GI133" s="469"/>
      <c r="GJ133" s="469">
        <v>-0.14219565910811066</v>
      </c>
      <c r="GK133" s="469">
        <v>5.5877070972336638</v>
      </c>
      <c r="GL133" s="469">
        <v>25.159038429568028</v>
      </c>
      <c r="GM133" s="458"/>
      <c r="GN133" s="464"/>
      <c r="GO133" s="470"/>
      <c r="GP133" s="468"/>
    </row>
    <row r="134" spans="1:198" x14ac:dyDescent="0.25">
      <c r="A134" s="465" t="s">
        <v>1580</v>
      </c>
      <c r="B134" s="461"/>
      <c r="C134" s="461"/>
      <c r="D134" s="461"/>
      <c r="E134" s="461"/>
      <c r="F134" s="461"/>
      <c r="G134" s="461"/>
      <c r="H134" s="461"/>
      <c r="I134" s="461"/>
      <c r="J134" s="461"/>
      <c r="K134" s="461"/>
      <c r="L134" s="461"/>
      <c r="M134" s="461"/>
      <c r="N134" s="461"/>
      <c r="O134" s="461"/>
      <c r="P134" s="461">
        <v>0.16861165795529037</v>
      </c>
      <c r="Q134" s="461">
        <v>0.16544443885926532</v>
      </c>
      <c r="R134" s="461">
        <v>1.1871264649147376E-2</v>
      </c>
      <c r="S134" s="461">
        <v>1.0482523603751905</v>
      </c>
      <c r="T134" s="461">
        <v>0.87434994608064698</v>
      </c>
      <c r="U134" s="461">
        <v>0.6338647358158005</v>
      </c>
      <c r="V134" s="461">
        <v>8.6975568513647031E-2</v>
      </c>
      <c r="W134" s="461">
        <v>0.28788496639154432</v>
      </c>
      <c r="X134" s="461">
        <v>1.0340110594746348</v>
      </c>
      <c r="Y134" s="461">
        <v>2.1339862855866136E-2</v>
      </c>
      <c r="Z134" s="461">
        <v>0.95177504760518272</v>
      </c>
      <c r="AA134" s="461">
        <v>5.7884817970844431E-2</v>
      </c>
      <c r="AB134" s="461"/>
      <c r="AC134" s="461">
        <v>3.3585530303497167E-2</v>
      </c>
      <c r="AD134" s="461">
        <v>0.14889453470733424</v>
      </c>
      <c r="AE134" s="461">
        <v>0.28612357802200805</v>
      </c>
      <c r="AF134" s="461">
        <v>2.164848256471202E-2</v>
      </c>
      <c r="AG134" s="461"/>
      <c r="AH134" s="461">
        <v>0.56354443519601971</v>
      </c>
      <c r="AI134" s="461">
        <v>2.5195677825824139</v>
      </c>
      <c r="AJ134" s="461">
        <v>3.2788318728013603</v>
      </c>
      <c r="AK134" s="461">
        <v>0.58131368114797133</v>
      </c>
      <c r="AL134" s="461">
        <v>0.30522140496965655</v>
      </c>
      <c r="AM134" s="461">
        <v>0.68948465107573342</v>
      </c>
      <c r="AN134" s="461">
        <v>0.6264143345399571</v>
      </c>
      <c r="AO134" s="461">
        <v>5.7648898926969778</v>
      </c>
      <c r="AP134" s="461">
        <v>0.38345590865367846</v>
      </c>
      <c r="AQ134" s="461">
        <v>13.256062477041974</v>
      </c>
      <c r="AR134" s="461">
        <v>0.26538641386256645</v>
      </c>
      <c r="AS134" s="461">
        <v>5.9809656602867802</v>
      </c>
      <c r="AT134" s="461">
        <v>48.431059198960916</v>
      </c>
      <c r="AU134" s="461">
        <v>42.366610250348756</v>
      </c>
      <c r="AV134" s="461">
        <v>6.1089735198410056</v>
      </c>
      <c r="AW134" s="461">
        <v>14.62178431962775</v>
      </c>
      <c r="AX134" s="461">
        <v>0.65131943848911045</v>
      </c>
      <c r="AY134" s="461">
        <v>2.3288474735618472</v>
      </c>
      <c r="AZ134" s="461">
        <v>8.5950428963744017</v>
      </c>
      <c r="BA134" s="461">
        <v>0.32521296651858</v>
      </c>
      <c r="BB134" s="461">
        <v>1.4722095629834377</v>
      </c>
      <c r="BC134" s="461">
        <v>1.8101490103245327E-2</v>
      </c>
      <c r="BD134" s="461">
        <v>4.4532988504376973E-3</v>
      </c>
      <c r="BE134" s="461">
        <v>1.4990091695710448</v>
      </c>
      <c r="BF134" s="461">
        <v>0.50997289634208676</v>
      </c>
      <c r="BG134" s="461">
        <v>1.889608433412314</v>
      </c>
      <c r="BH134" s="461">
        <v>1.8498765078600914E-2</v>
      </c>
      <c r="BI134" s="461">
        <v>0.81465201674696808</v>
      </c>
      <c r="BJ134" s="461">
        <v>1.4741514919586072</v>
      </c>
      <c r="BK134" s="480">
        <v>0.14147264018541231</v>
      </c>
      <c r="BL134" s="461">
        <v>0.38616649971635336</v>
      </c>
      <c r="BM134" s="461"/>
      <c r="BN134" s="461"/>
      <c r="BO134" s="461"/>
      <c r="BP134" s="461">
        <v>3.0392950503984859E-2</v>
      </c>
      <c r="BQ134" s="461">
        <v>1.0183157700679373</v>
      </c>
      <c r="BR134" s="461">
        <v>1.840110795008305E-2</v>
      </c>
      <c r="BS134" s="461">
        <v>1.6952175417047979E-2</v>
      </c>
      <c r="BT134" s="461"/>
      <c r="BU134" s="461">
        <v>4.3979032499470203E-2</v>
      </c>
      <c r="BV134" s="461">
        <v>2.8462003549564073E-3</v>
      </c>
      <c r="BW134" s="461">
        <v>2.4420145286189843E-3</v>
      </c>
      <c r="BX134" s="461">
        <v>0.1155368074366234</v>
      </c>
      <c r="BY134" s="461">
        <v>0.43106755983058309</v>
      </c>
      <c r="BZ134" s="461">
        <v>2.9938878487716627</v>
      </c>
      <c r="CA134" s="461"/>
      <c r="CB134" s="461"/>
      <c r="CC134" s="461"/>
      <c r="CD134" s="461"/>
      <c r="CE134" s="461"/>
      <c r="CF134" s="461"/>
      <c r="CG134" s="461"/>
      <c r="CH134" s="461"/>
      <c r="CI134" s="461"/>
      <c r="CJ134" s="461"/>
      <c r="CK134" s="461"/>
      <c r="CL134" s="461"/>
      <c r="CM134" s="461"/>
      <c r="CN134" s="461"/>
      <c r="CO134" s="461"/>
      <c r="CP134" s="461"/>
      <c r="CQ134" s="461"/>
      <c r="CR134" s="461"/>
      <c r="CS134" s="461"/>
      <c r="CT134" s="461"/>
      <c r="CU134" s="461"/>
      <c r="CV134" s="461"/>
      <c r="CW134" s="461"/>
      <c r="CX134" s="461"/>
      <c r="CY134" s="461"/>
      <c r="CZ134" s="461"/>
      <c r="DA134" s="461"/>
      <c r="DB134" s="461"/>
      <c r="DC134" s="461"/>
      <c r="DD134" s="461"/>
      <c r="DE134" s="461"/>
      <c r="DF134" s="461"/>
      <c r="DG134" s="461"/>
      <c r="DH134" s="461"/>
      <c r="DI134" s="461"/>
      <c r="DJ134" s="461"/>
      <c r="DK134" s="461"/>
      <c r="DL134" s="461"/>
      <c r="DM134" s="461"/>
      <c r="DN134" s="461"/>
      <c r="DO134" s="461"/>
      <c r="DP134" s="461"/>
      <c r="DQ134" s="461"/>
      <c r="DR134" s="461"/>
      <c r="DS134" s="461"/>
      <c r="DT134" s="461"/>
      <c r="DU134" s="461"/>
      <c r="DV134" s="461"/>
      <c r="DW134" s="461"/>
      <c r="DX134" s="461"/>
      <c r="DY134" s="461"/>
      <c r="DZ134" s="461"/>
      <c r="EA134" s="461"/>
      <c r="EB134" s="461"/>
      <c r="EC134" s="461"/>
      <c r="ED134" s="461"/>
      <c r="EE134" s="461"/>
      <c r="EF134" s="461"/>
      <c r="EG134" s="461"/>
      <c r="EH134" s="461"/>
      <c r="EI134" s="461"/>
      <c r="EJ134" s="461"/>
      <c r="EK134" s="461"/>
      <c r="EL134" s="461"/>
      <c r="EM134" s="461"/>
      <c r="EN134" s="461"/>
      <c r="EO134" s="461"/>
      <c r="EP134" s="461"/>
      <c r="EQ134" s="461"/>
      <c r="ER134" s="461"/>
      <c r="ES134" s="461"/>
      <c r="ET134" s="461"/>
      <c r="EU134" s="461"/>
      <c r="EV134" s="461"/>
      <c r="EW134" s="461"/>
      <c r="EX134" s="461"/>
      <c r="EY134" s="461"/>
      <c r="EZ134" s="461"/>
      <c r="FA134" s="461"/>
      <c r="FB134" s="461"/>
      <c r="FC134" s="461"/>
      <c r="FD134" s="461"/>
      <c r="FE134" s="461"/>
      <c r="FF134" s="461"/>
      <c r="FG134" s="461"/>
      <c r="FH134" s="461"/>
      <c r="FI134" s="461"/>
      <c r="FJ134" s="461"/>
      <c r="FK134" s="461"/>
      <c r="FL134" s="461"/>
      <c r="FM134" s="461"/>
      <c r="FN134" s="461"/>
      <c r="FO134" s="461"/>
      <c r="FP134" s="461">
        <v>3.8323976886364885E-3</v>
      </c>
      <c r="FQ134" s="461">
        <v>1.3502503880210872E-2</v>
      </c>
      <c r="FR134" s="461">
        <v>3.9795690443164833E-2</v>
      </c>
      <c r="FS134" s="461">
        <v>5.9232927902430094E-2</v>
      </c>
      <c r="FT134" s="461">
        <v>2.5865281242417781E-2</v>
      </c>
      <c r="FU134" s="461">
        <v>9.9390845564945943E-2</v>
      </c>
      <c r="FV134" s="461">
        <v>7.9463400375971743E-2</v>
      </c>
      <c r="FW134" s="461">
        <v>7.6828090971169494E-2</v>
      </c>
      <c r="FX134" s="461">
        <v>0.21811398691096989</v>
      </c>
      <c r="FY134" s="461">
        <v>0.42709363497086672</v>
      </c>
      <c r="FZ134" s="461"/>
      <c r="GA134" s="461"/>
      <c r="GB134" s="461"/>
      <c r="GC134" s="461"/>
      <c r="GD134" s="469"/>
      <c r="GE134" s="469"/>
      <c r="GF134" s="469"/>
      <c r="GG134" s="469"/>
      <c r="GH134" s="469"/>
      <c r="GI134" s="469"/>
      <c r="GJ134" s="469">
        <v>-1.2797609319729963</v>
      </c>
      <c r="GK134" s="469">
        <v>50.289363875102985</v>
      </c>
      <c r="GL134" s="469">
        <v>226.43134586611231</v>
      </c>
      <c r="GM134" s="458"/>
      <c r="GN134" s="464"/>
      <c r="GO134" s="470"/>
      <c r="GP134" s="468"/>
    </row>
    <row r="135" spans="1:198" x14ac:dyDescent="0.25">
      <c r="A135" s="465" t="s">
        <v>1579</v>
      </c>
      <c r="B135" s="461">
        <v>2.263839983649266</v>
      </c>
      <c r="C135" s="461">
        <v>5.2701598030398138</v>
      </c>
      <c r="D135" s="461">
        <v>0.36562421255069333</v>
      </c>
      <c r="E135" s="461">
        <v>3.1371520221576237</v>
      </c>
      <c r="F135" s="461">
        <v>4.9228832712512576</v>
      </c>
      <c r="G135" s="461">
        <v>1.4201015181078831</v>
      </c>
      <c r="H135" s="461">
        <v>2.2142548601694028</v>
      </c>
      <c r="I135" s="461">
        <v>1.5879833325701707</v>
      </c>
      <c r="J135" s="461">
        <v>0.45436469060391937</v>
      </c>
      <c r="K135" s="461">
        <v>1.8922776605746459</v>
      </c>
      <c r="L135" s="461">
        <v>1.3264028154374876</v>
      </c>
      <c r="M135" s="461">
        <v>2.5607940192810328</v>
      </c>
      <c r="N135" s="461">
        <v>2.363164338756484</v>
      </c>
      <c r="O135" s="461">
        <v>0.28396079454945955</v>
      </c>
      <c r="P135" s="461">
        <v>2.7375469653601825</v>
      </c>
      <c r="Q135" s="461">
        <v>1.8374965557407865</v>
      </c>
      <c r="R135" s="461">
        <v>6.5110011307764046E-2</v>
      </c>
      <c r="S135" s="461">
        <v>6.9027687491235596</v>
      </c>
      <c r="T135" s="461">
        <v>7.9346142511494531</v>
      </c>
      <c r="U135" s="461">
        <v>3.9335977419553863</v>
      </c>
      <c r="V135" s="461">
        <v>6.9731260256861534E-3</v>
      </c>
      <c r="W135" s="461">
        <v>0.15370930023613216</v>
      </c>
      <c r="X135" s="461">
        <v>4.223709055908579E-2</v>
      </c>
      <c r="Y135" s="461">
        <v>4.5544640965600437E-2</v>
      </c>
      <c r="Z135" s="461">
        <v>0.15133134574734244</v>
      </c>
      <c r="AA135" s="461">
        <v>0.10925463132886863</v>
      </c>
      <c r="AB135" s="461">
        <v>2.6788117497554751E-5</v>
      </c>
      <c r="AC135" s="461">
        <v>0.16450258471318541</v>
      </c>
      <c r="AD135" s="461">
        <v>0.35822755059550021</v>
      </c>
      <c r="AE135" s="461">
        <v>6.0077106189155523E-2</v>
      </c>
      <c r="AF135" s="461">
        <v>1.8356966290306402E-3</v>
      </c>
      <c r="AG135" s="461">
        <v>1.0426202169883705E-2</v>
      </c>
      <c r="AH135" s="461">
        <v>2.4081650614966734</v>
      </c>
      <c r="AI135" s="461">
        <v>0.51856455735689155</v>
      </c>
      <c r="AJ135" s="461">
        <v>0.95964700317965301</v>
      </c>
      <c r="AK135" s="461">
        <v>0.42703760595420143</v>
      </c>
      <c r="AL135" s="461">
        <v>5.8078344072643125E-2</v>
      </c>
      <c r="AM135" s="461">
        <v>5.6415944314012666E-2</v>
      </c>
      <c r="AN135" s="461">
        <v>1.0328448533782577</v>
      </c>
      <c r="AO135" s="461">
        <v>3.9936780043867421</v>
      </c>
      <c r="AP135" s="461">
        <v>3.9782825645111375</v>
      </c>
      <c r="AQ135" s="461">
        <v>4.7518496983784173</v>
      </c>
      <c r="AR135" s="461">
        <v>1.735062458068699E-2</v>
      </c>
      <c r="AS135" s="461">
        <v>0.35682851125658427</v>
      </c>
      <c r="AT135" s="461">
        <v>3.2114566013092589</v>
      </c>
      <c r="AU135" s="461">
        <v>23.513621909985684</v>
      </c>
      <c r="AV135" s="461">
        <v>1.4948112603385024</v>
      </c>
      <c r="AW135" s="461">
        <v>1.0808147791339424</v>
      </c>
      <c r="AX135" s="461">
        <v>1.1800842246051939</v>
      </c>
      <c r="AY135" s="461">
        <v>1.4475669833597284</v>
      </c>
      <c r="AZ135" s="461">
        <v>0.1100265866064792</v>
      </c>
      <c r="BA135" s="461">
        <v>1.3556922402563338</v>
      </c>
      <c r="BB135" s="461">
        <v>0.49528162411102988</v>
      </c>
      <c r="BC135" s="461">
        <v>5.7678099832927108E-3</v>
      </c>
      <c r="BD135" s="461">
        <v>1.4189871342987076E-3</v>
      </c>
      <c r="BE135" s="461">
        <v>0.4778068558850514</v>
      </c>
      <c r="BF135" s="461">
        <v>0.11119974667933612</v>
      </c>
      <c r="BG135" s="461">
        <v>2.6928188172743788</v>
      </c>
      <c r="BH135" s="461">
        <v>5.1870641831613933E-2</v>
      </c>
      <c r="BI135" s="461">
        <v>0.52787175002476516</v>
      </c>
      <c r="BJ135" s="461">
        <v>0.74939310867909503</v>
      </c>
      <c r="BK135" s="480">
        <v>0.78681822943831203</v>
      </c>
      <c r="BL135" s="461">
        <v>1.0618029809241352</v>
      </c>
      <c r="BM135" s="461">
        <v>8.0417482189458571</v>
      </c>
      <c r="BN135" s="461">
        <v>4.3804688232139029</v>
      </c>
      <c r="BO135" s="461">
        <v>0.8057163446886243</v>
      </c>
      <c r="BP135" s="461">
        <v>0.5532633603011371</v>
      </c>
      <c r="BQ135" s="461">
        <v>1.8543815336205829</v>
      </c>
      <c r="BR135" s="461">
        <v>0.33157308498700777</v>
      </c>
      <c r="BS135" s="461">
        <v>0.30531833235500438</v>
      </c>
      <c r="BT135" s="461"/>
      <c r="BU135" s="461">
        <v>0.80180724850085505</v>
      </c>
      <c r="BV135" s="461">
        <v>5.1872157855529129E-2</v>
      </c>
      <c r="BW135" s="461">
        <v>0.32188320121181319</v>
      </c>
      <c r="BX135" s="461">
        <v>37.462003020567948</v>
      </c>
      <c r="BY135" s="461">
        <v>21.733990325669676</v>
      </c>
      <c r="BZ135" s="461">
        <v>11.694797695661203</v>
      </c>
      <c r="CA135" s="461"/>
      <c r="CB135" s="461"/>
      <c r="CC135" s="461"/>
      <c r="CD135" s="461"/>
      <c r="CE135" s="461"/>
      <c r="CF135" s="461"/>
      <c r="CG135" s="461"/>
      <c r="CH135" s="461"/>
      <c r="CI135" s="461"/>
      <c r="CJ135" s="461"/>
      <c r="CK135" s="461"/>
      <c r="CL135" s="461"/>
      <c r="CM135" s="461"/>
      <c r="CN135" s="461"/>
      <c r="CO135" s="461"/>
      <c r="CP135" s="461"/>
      <c r="CQ135" s="461"/>
      <c r="CR135" s="461"/>
      <c r="CS135" s="461"/>
      <c r="CT135" s="461"/>
      <c r="CU135" s="461"/>
      <c r="CV135" s="461"/>
      <c r="CW135" s="461"/>
      <c r="CX135" s="461"/>
      <c r="CY135" s="461"/>
      <c r="CZ135" s="461"/>
      <c r="DA135" s="461"/>
      <c r="DB135" s="461"/>
      <c r="DC135" s="461"/>
      <c r="DD135" s="461"/>
      <c r="DE135" s="461"/>
      <c r="DF135" s="461"/>
      <c r="DG135" s="461"/>
      <c r="DH135" s="461"/>
      <c r="DI135" s="461"/>
      <c r="DJ135" s="461"/>
      <c r="DK135" s="461"/>
      <c r="DL135" s="461"/>
      <c r="DM135" s="461"/>
      <c r="DN135" s="461"/>
      <c r="DO135" s="461"/>
      <c r="DP135" s="461"/>
      <c r="DQ135" s="461"/>
      <c r="DR135" s="461"/>
      <c r="DS135" s="461"/>
      <c r="DT135" s="461"/>
      <c r="DU135" s="461"/>
      <c r="DV135" s="461"/>
      <c r="DW135" s="461"/>
      <c r="DX135" s="461"/>
      <c r="DY135" s="461"/>
      <c r="DZ135" s="461"/>
      <c r="EA135" s="461"/>
      <c r="EB135" s="461"/>
      <c r="EC135" s="461"/>
      <c r="ED135" s="461"/>
      <c r="EE135" s="461"/>
      <c r="EF135" s="461"/>
      <c r="EG135" s="461"/>
      <c r="EH135" s="461"/>
      <c r="EI135" s="461"/>
      <c r="EJ135" s="461"/>
      <c r="EK135" s="461"/>
      <c r="EL135" s="461"/>
      <c r="EM135" s="461"/>
      <c r="EN135" s="461"/>
      <c r="EO135" s="461"/>
      <c r="EP135" s="461"/>
      <c r="EQ135" s="461"/>
      <c r="ER135" s="461"/>
      <c r="ES135" s="461"/>
      <c r="ET135" s="461"/>
      <c r="EU135" s="461"/>
      <c r="EV135" s="461"/>
      <c r="EW135" s="461"/>
      <c r="EX135" s="461"/>
      <c r="EY135" s="461"/>
      <c r="EZ135" s="461"/>
      <c r="FA135" s="461"/>
      <c r="FB135" s="461"/>
      <c r="FC135" s="461"/>
      <c r="FD135" s="461"/>
      <c r="FE135" s="461"/>
      <c r="FF135" s="461"/>
      <c r="FG135" s="461"/>
      <c r="FH135" s="461"/>
      <c r="FI135" s="461"/>
      <c r="FJ135" s="461"/>
      <c r="FK135" s="461"/>
      <c r="FL135" s="461"/>
      <c r="FM135" s="461"/>
      <c r="FN135" s="461"/>
      <c r="FO135" s="461"/>
      <c r="FP135" s="461">
        <v>4.5867994039411029</v>
      </c>
      <c r="FQ135" s="461">
        <v>6.3946284662295305</v>
      </c>
      <c r="FR135" s="461">
        <v>7.362035434753178</v>
      </c>
      <c r="FS135" s="461">
        <v>8.17222346680553</v>
      </c>
      <c r="FT135" s="461">
        <v>8.452016560886678</v>
      </c>
      <c r="FU135" s="461">
        <v>9.1861052272642514</v>
      </c>
      <c r="FV135" s="461">
        <v>9.8923261861526246</v>
      </c>
      <c r="FW135" s="461">
        <v>14.761740624367972</v>
      </c>
      <c r="FX135" s="461">
        <v>19.148999264821807</v>
      </c>
      <c r="FY135" s="461">
        <v>31.508247997429958</v>
      </c>
      <c r="FZ135" s="461"/>
      <c r="GA135" s="461"/>
      <c r="GB135" s="461"/>
      <c r="GC135" s="461"/>
      <c r="GD135" s="469"/>
      <c r="GE135" s="469"/>
      <c r="GF135" s="469"/>
      <c r="GG135" s="469"/>
      <c r="GH135" s="469"/>
      <c r="GI135" s="469"/>
      <c r="GJ135" s="469">
        <v>-1.491113922608462</v>
      </c>
      <c r="GK135" s="469">
        <v>44.635006781933789</v>
      </c>
      <c r="GL135" s="469">
        <v>364.44095041059671</v>
      </c>
      <c r="GM135" s="458"/>
      <c r="GN135" s="464"/>
      <c r="GO135" s="470"/>
      <c r="GP135" s="468"/>
    </row>
    <row r="136" spans="1:198" x14ac:dyDescent="0.25">
      <c r="A136" s="465" t="s">
        <v>1578</v>
      </c>
      <c r="B136" s="461">
        <v>0.10221756250634048</v>
      </c>
      <c r="C136" s="461">
        <v>0.39687904353912662</v>
      </c>
      <c r="D136" s="461">
        <v>1.7117843565516759E-2</v>
      </c>
      <c r="E136" s="461">
        <v>0.2939376268902838</v>
      </c>
      <c r="F136" s="461">
        <v>1.1427574342945268</v>
      </c>
      <c r="G136" s="461">
        <v>0.38613740456323137</v>
      </c>
      <c r="H136" s="461">
        <v>0.13900145020439281</v>
      </c>
      <c r="I136" s="461">
        <v>0.17794158852448838</v>
      </c>
      <c r="J136" s="461">
        <v>1.6141301573181919E-2</v>
      </c>
      <c r="K136" s="461">
        <v>0.177960489228563</v>
      </c>
      <c r="L136" s="461">
        <v>4.2005366440281341E-2</v>
      </c>
      <c r="M136" s="461">
        <v>0.11105044956112495</v>
      </c>
      <c r="N136" s="461">
        <v>6.3233167073287841E-2</v>
      </c>
      <c r="O136" s="461">
        <v>1.0041599179342315E-2</v>
      </c>
      <c r="P136" s="461">
        <v>1.3133486386228928</v>
      </c>
      <c r="Q136" s="461">
        <v>0.67572926647259546</v>
      </c>
      <c r="R136" s="461">
        <v>2.0802128523226472E-2</v>
      </c>
      <c r="S136" s="461">
        <v>2.7601054510854297</v>
      </c>
      <c r="T136" s="461">
        <v>2.5511581891596</v>
      </c>
      <c r="U136" s="461">
        <v>1.256753057529755</v>
      </c>
      <c r="V136" s="461"/>
      <c r="W136" s="461"/>
      <c r="X136" s="461"/>
      <c r="Y136" s="461"/>
      <c r="Z136" s="461"/>
      <c r="AA136" s="461"/>
      <c r="AB136" s="461"/>
      <c r="AC136" s="461"/>
      <c r="AD136" s="461"/>
      <c r="AE136" s="461"/>
      <c r="AF136" s="461"/>
      <c r="AG136" s="461"/>
      <c r="AH136" s="461"/>
      <c r="AI136" s="461"/>
      <c r="AJ136" s="461">
        <v>6.1184762391205579E-2</v>
      </c>
      <c r="AK136" s="461">
        <v>0.10542672250269979</v>
      </c>
      <c r="AL136" s="461">
        <v>1.3309368662984958E-3</v>
      </c>
      <c r="AM136" s="461">
        <v>0.50693962643927559</v>
      </c>
      <c r="AN136" s="461">
        <v>0.17446817136916351</v>
      </c>
      <c r="AO136" s="461">
        <v>2.0075398979190386E-3</v>
      </c>
      <c r="AP136" s="461">
        <v>6.178290296078958E-2</v>
      </c>
      <c r="AQ136" s="461"/>
      <c r="AR136" s="461">
        <v>3.3295799419790233E-4</v>
      </c>
      <c r="AS136" s="461">
        <v>6.8475290228377315E-3</v>
      </c>
      <c r="AT136" s="461">
        <v>6.1627761205539595E-2</v>
      </c>
      <c r="AU136" s="461">
        <v>9.4838131884930399E-2</v>
      </c>
      <c r="AV136" s="461">
        <v>1.2817317090882854</v>
      </c>
      <c r="AW136" s="461">
        <v>0.3626778471475966</v>
      </c>
      <c r="AX136" s="461">
        <v>2.1066028640002051E-3</v>
      </c>
      <c r="AY136" s="461"/>
      <c r="AZ136" s="461"/>
      <c r="BA136" s="461">
        <v>3.6814767764179072E-2</v>
      </c>
      <c r="BB136" s="461">
        <v>0.65458068093430377</v>
      </c>
      <c r="BC136" s="461">
        <v>1.1015312851351516E-4</v>
      </c>
      <c r="BD136" s="461">
        <v>2.7099691670875515E-5</v>
      </c>
      <c r="BE136" s="461">
        <v>9.1260903508687385E-3</v>
      </c>
      <c r="BF136" s="461">
        <v>0.12394886705568185</v>
      </c>
      <c r="BG136" s="461">
        <v>3.3804760702710057</v>
      </c>
      <c r="BH136" s="461">
        <v>7.6480603448992379E-2</v>
      </c>
      <c r="BI136" s="461">
        <v>9.7871561854215985E-2</v>
      </c>
      <c r="BJ136" s="461">
        <v>1.1856005430277023</v>
      </c>
      <c r="BK136" s="480">
        <v>1.6598956465492701E-2</v>
      </c>
      <c r="BL136" s="461">
        <v>0.12726249991392466</v>
      </c>
      <c r="BM136" s="461"/>
      <c r="BN136" s="461">
        <v>0.25797562368472027</v>
      </c>
      <c r="BO136" s="461"/>
      <c r="BP136" s="461">
        <v>1.5738107469671889</v>
      </c>
      <c r="BQ136" s="461">
        <v>5.2986022363731937</v>
      </c>
      <c r="BR136" s="461">
        <v>0.94337730893002592</v>
      </c>
      <c r="BS136" s="461">
        <v>0.86777938793461573</v>
      </c>
      <c r="BT136" s="461"/>
      <c r="BU136" s="461">
        <v>2.3323186533763125</v>
      </c>
      <c r="BV136" s="461">
        <v>0.15196228069863457</v>
      </c>
      <c r="BW136" s="461">
        <v>0.13815205587435611</v>
      </c>
      <c r="BX136" s="461">
        <v>1.0354673478903049</v>
      </c>
      <c r="BY136" s="461">
        <v>1.4070043441549247</v>
      </c>
      <c r="BZ136" s="461">
        <v>1.1977856729154699</v>
      </c>
      <c r="CA136" s="461"/>
      <c r="CB136" s="461"/>
      <c r="CC136" s="461"/>
      <c r="CD136" s="461"/>
      <c r="CE136" s="461"/>
      <c r="CF136" s="461"/>
      <c r="CG136" s="461"/>
      <c r="CH136" s="461"/>
      <c r="CI136" s="461"/>
      <c r="CJ136" s="461"/>
      <c r="CK136" s="461"/>
      <c r="CL136" s="461"/>
      <c r="CM136" s="461"/>
      <c r="CN136" s="461"/>
      <c r="CO136" s="461"/>
      <c r="CP136" s="461"/>
      <c r="CQ136" s="461"/>
      <c r="CR136" s="461"/>
      <c r="CS136" s="461"/>
      <c r="CT136" s="461"/>
      <c r="CU136" s="461"/>
      <c r="CV136" s="461"/>
      <c r="CW136" s="461"/>
      <c r="CX136" s="461"/>
      <c r="CY136" s="461"/>
      <c r="CZ136" s="461"/>
      <c r="DA136" s="461"/>
      <c r="DB136" s="461"/>
      <c r="DC136" s="461"/>
      <c r="DD136" s="461"/>
      <c r="DE136" s="461"/>
      <c r="DF136" s="461"/>
      <c r="DG136" s="461"/>
      <c r="DH136" s="461"/>
      <c r="DI136" s="461"/>
      <c r="DJ136" s="461"/>
      <c r="DK136" s="461"/>
      <c r="DL136" s="461"/>
      <c r="DM136" s="461"/>
      <c r="DN136" s="461"/>
      <c r="DO136" s="461"/>
      <c r="DP136" s="461"/>
      <c r="DQ136" s="461"/>
      <c r="DR136" s="461"/>
      <c r="DS136" s="461"/>
      <c r="DT136" s="461"/>
      <c r="DU136" s="461"/>
      <c r="DV136" s="461"/>
      <c r="DW136" s="461"/>
      <c r="DX136" s="461"/>
      <c r="DY136" s="461"/>
      <c r="DZ136" s="461"/>
      <c r="EA136" s="461"/>
      <c r="EB136" s="461"/>
      <c r="EC136" s="461"/>
      <c r="ED136" s="461"/>
      <c r="EE136" s="461"/>
      <c r="EF136" s="461"/>
      <c r="EG136" s="461"/>
      <c r="EH136" s="461"/>
      <c r="EI136" s="461"/>
      <c r="EJ136" s="461"/>
      <c r="EK136" s="461"/>
      <c r="EL136" s="461"/>
      <c r="EM136" s="461"/>
      <c r="EN136" s="461"/>
      <c r="EO136" s="461"/>
      <c r="EP136" s="461"/>
      <c r="EQ136" s="461"/>
      <c r="ER136" s="461"/>
      <c r="ES136" s="461"/>
      <c r="ET136" s="461"/>
      <c r="EU136" s="461"/>
      <c r="EV136" s="461"/>
      <c r="EW136" s="461"/>
      <c r="EX136" s="461"/>
      <c r="EY136" s="461"/>
      <c r="EZ136" s="461"/>
      <c r="FA136" s="461"/>
      <c r="FB136" s="461"/>
      <c r="FC136" s="461"/>
      <c r="FD136" s="461"/>
      <c r="FE136" s="461"/>
      <c r="FF136" s="461"/>
      <c r="FG136" s="461"/>
      <c r="FH136" s="461"/>
      <c r="FI136" s="461"/>
      <c r="FJ136" s="461"/>
      <c r="FK136" s="461"/>
      <c r="FL136" s="461"/>
      <c r="FM136" s="461"/>
      <c r="FN136" s="461"/>
      <c r="FO136" s="461"/>
      <c r="FP136" s="461">
        <v>8.8964093637453751E-3</v>
      </c>
      <c r="FQ136" s="461">
        <v>3.5077200719654922E-2</v>
      </c>
      <c r="FR136" s="461">
        <v>0.15353030245587859</v>
      </c>
      <c r="FS136" s="461">
        <v>0.25393407254760203</v>
      </c>
      <c r="FT136" s="461">
        <v>0.29059106732661649</v>
      </c>
      <c r="FU136" s="461">
        <v>0.46598768382350181</v>
      </c>
      <c r="FV136" s="461">
        <v>0.90381528617273121</v>
      </c>
      <c r="FW136" s="461">
        <v>1.6917423757331977</v>
      </c>
      <c r="FX136" s="461">
        <v>3.1674826265861573</v>
      </c>
      <c r="FY136" s="461">
        <v>7.1217733224949784</v>
      </c>
      <c r="FZ136" s="461"/>
      <c r="GA136" s="461"/>
      <c r="GB136" s="461"/>
      <c r="GC136" s="461"/>
      <c r="GD136" s="469"/>
      <c r="GE136" s="469"/>
      <c r="GF136" s="469"/>
      <c r="GG136" s="469"/>
      <c r="GH136" s="469">
        <v>5.4709841847855106E-3</v>
      </c>
      <c r="GI136" s="469">
        <v>1.9522777848768577E-4</v>
      </c>
      <c r="GJ136" s="469">
        <v>-0.13460820847556831</v>
      </c>
      <c r="GK136" s="469">
        <v>5.2870814726298363</v>
      </c>
      <c r="GL136" s="469">
        <v>54.54172563621983</v>
      </c>
      <c r="GM136" s="458"/>
      <c r="GN136" s="464"/>
      <c r="GO136" s="470"/>
      <c r="GP136" s="468"/>
    </row>
    <row r="137" spans="1:198" x14ac:dyDescent="0.25">
      <c r="A137" s="465" t="s">
        <v>1577</v>
      </c>
      <c r="B137" s="461">
        <v>0.13705866840911504</v>
      </c>
      <c r="C137" s="461">
        <v>0.53040210433220691</v>
      </c>
      <c r="D137" s="461">
        <v>2.2881205561695352E-2</v>
      </c>
      <c r="E137" s="461">
        <v>0.3961283544897643</v>
      </c>
      <c r="F137" s="461">
        <v>1.5388567547875205</v>
      </c>
      <c r="G137" s="461">
        <v>0.51773381315906797</v>
      </c>
      <c r="H137" s="461">
        <v>0.18587015812089058</v>
      </c>
      <c r="I137" s="461">
        <v>0.23829368285320043</v>
      </c>
      <c r="J137" s="461">
        <v>2.165977581835624E-2</v>
      </c>
      <c r="K137" s="461">
        <v>0.23841679569470281</v>
      </c>
      <c r="L137" s="461">
        <v>5.6264761410016975E-2</v>
      </c>
      <c r="M137" s="461">
        <v>0.14885239188204913</v>
      </c>
      <c r="N137" s="461">
        <v>6.0041118937802486E-2</v>
      </c>
      <c r="O137" s="461">
        <v>9.082081745566406E-3</v>
      </c>
      <c r="P137" s="461">
        <v>0.33310454170821274</v>
      </c>
      <c r="Q137" s="461">
        <v>0.14867347306143702</v>
      </c>
      <c r="R137" s="461">
        <v>7.9733720100400567E-3</v>
      </c>
      <c r="S137" s="461">
        <v>0.69066771947580208</v>
      </c>
      <c r="T137" s="461">
        <v>0.90485328195138293</v>
      </c>
      <c r="U137" s="461">
        <v>0.48170838100781965</v>
      </c>
      <c r="V137" s="461">
        <v>0.22686259477006884</v>
      </c>
      <c r="W137" s="461">
        <v>0.19222672138578656</v>
      </c>
      <c r="X137" s="461">
        <v>2.7009582020953156</v>
      </c>
      <c r="Y137" s="461">
        <v>0.17514612000217714</v>
      </c>
      <c r="Z137" s="461">
        <v>2.7558412577276128</v>
      </c>
      <c r="AA137" s="461">
        <v>0.84246561477158133</v>
      </c>
      <c r="AB137" s="461">
        <v>0.86143379753917437</v>
      </c>
      <c r="AC137" s="461">
        <v>2.3783738147375198E-2</v>
      </c>
      <c r="AD137" s="461">
        <v>3.0475451959542155</v>
      </c>
      <c r="AE137" s="461">
        <v>0.14131574107127506</v>
      </c>
      <c r="AF137" s="461">
        <v>0.24862290736033668</v>
      </c>
      <c r="AG137" s="461">
        <v>0.11141110264946148</v>
      </c>
      <c r="AH137" s="461">
        <v>1.0872881654217865</v>
      </c>
      <c r="AI137" s="461">
        <v>5.0086562369526897</v>
      </c>
      <c r="AJ137" s="461">
        <v>0.90700128808964364</v>
      </c>
      <c r="AK137" s="461">
        <v>0.53019953746197734</v>
      </c>
      <c r="AL137" s="461">
        <v>5.354795365912482E-2</v>
      </c>
      <c r="AM137" s="461">
        <v>0.120328987678973</v>
      </c>
      <c r="AN137" s="461">
        <v>1.0823562348364157</v>
      </c>
      <c r="AO137" s="461">
        <v>0.8404214890831686</v>
      </c>
      <c r="AP137" s="461">
        <v>0.73699977269490391</v>
      </c>
      <c r="AQ137" s="461">
        <v>0.39526107273686911</v>
      </c>
      <c r="AR137" s="461">
        <v>3.6417357942032081E-3</v>
      </c>
      <c r="AS137" s="461">
        <v>7.4895007715272272E-2</v>
      </c>
      <c r="AT137" s="461">
        <v>0.67405506943745064</v>
      </c>
      <c r="AU137" s="461">
        <v>8.0149154764548562</v>
      </c>
      <c r="AV137" s="461">
        <v>0.41469510327289172</v>
      </c>
      <c r="AW137" s="461">
        <v>2.7064895442606383</v>
      </c>
      <c r="AX137" s="461">
        <v>3.8403943956751365</v>
      </c>
      <c r="AY137" s="461">
        <v>0.31913482802620063</v>
      </c>
      <c r="AZ137" s="461">
        <v>9.6896186779831486E-2</v>
      </c>
      <c r="BA137" s="461">
        <v>0.54925145990857571</v>
      </c>
      <c r="BB137" s="461">
        <v>1.0510486164356059</v>
      </c>
      <c r="BC137" s="461">
        <v>2.5884953168686393E-2</v>
      </c>
      <c r="BD137" s="461">
        <v>6.3681736438415057E-3</v>
      </c>
      <c r="BE137" s="461">
        <v>2.143653226151788</v>
      </c>
      <c r="BF137" s="461">
        <v>0.86795379398036288</v>
      </c>
      <c r="BG137" s="461">
        <v>5.3162946053868749</v>
      </c>
      <c r="BH137" s="461">
        <v>3.1654311675804639E-2</v>
      </c>
      <c r="BI137" s="461">
        <v>1.1636146898370012</v>
      </c>
      <c r="BJ137" s="461">
        <v>1.6724339049826056</v>
      </c>
      <c r="BK137" s="480">
        <v>2.3314220470252025E-2</v>
      </c>
      <c r="BL137" s="461">
        <v>2.0839148153240259E-2</v>
      </c>
      <c r="BM137" s="461">
        <v>15.804305188739932</v>
      </c>
      <c r="BN137" s="461">
        <v>17.259307957763273</v>
      </c>
      <c r="BO137" s="461"/>
      <c r="BP137" s="461">
        <v>0.15150436980898122</v>
      </c>
      <c r="BQ137" s="461">
        <v>0.50696028351853439</v>
      </c>
      <c r="BR137" s="461">
        <v>2.6096370156899591E-2</v>
      </c>
      <c r="BS137" s="461">
        <v>2.4041293182587967E-2</v>
      </c>
      <c r="BT137" s="461"/>
      <c r="BU137" s="461">
        <v>0.20164819235896389</v>
      </c>
      <c r="BV137" s="461">
        <v>3.1725080950896802E-2</v>
      </c>
      <c r="BW137" s="461"/>
      <c r="BX137" s="461">
        <v>1.5952128681256541</v>
      </c>
      <c r="BY137" s="461">
        <v>0.12575252766615699</v>
      </c>
      <c r="BZ137" s="461">
        <v>4.6057168018764614</v>
      </c>
      <c r="CA137" s="461"/>
      <c r="CB137" s="461"/>
      <c r="CC137" s="461"/>
      <c r="CD137" s="461"/>
      <c r="CE137" s="461"/>
      <c r="CF137" s="461"/>
      <c r="CG137" s="461"/>
      <c r="CH137" s="461"/>
      <c r="CI137" s="461"/>
      <c r="CJ137" s="461"/>
      <c r="CK137" s="461"/>
      <c r="CL137" s="461"/>
      <c r="CM137" s="461"/>
      <c r="CN137" s="461"/>
      <c r="CO137" s="461"/>
      <c r="CP137" s="461"/>
      <c r="CQ137" s="461"/>
      <c r="CR137" s="461"/>
      <c r="CS137" s="461"/>
      <c r="CT137" s="461"/>
      <c r="CU137" s="461"/>
      <c r="CV137" s="461"/>
      <c r="CW137" s="461"/>
      <c r="CX137" s="461"/>
      <c r="CY137" s="461"/>
      <c r="CZ137" s="461"/>
      <c r="DA137" s="461"/>
      <c r="DB137" s="461"/>
      <c r="DC137" s="461"/>
      <c r="DD137" s="461"/>
      <c r="DE137" s="461"/>
      <c r="DF137" s="461"/>
      <c r="DG137" s="461"/>
      <c r="DH137" s="461"/>
      <c r="DI137" s="461"/>
      <c r="DJ137" s="461"/>
      <c r="DK137" s="461"/>
      <c r="DL137" s="461"/>
      <c r="DM137" s="461"/>
      <c r="DN137" s="461"/>
      <c r="DO137" s="461"/>
      <c r="DP137" s="461"/>
      <c r="DQ137" s="461"/>
      <c r="DR137" s="461"/>
      <c r="DS137" s="461"/>
      <c r="DT137" s="461"/>
      <c r="DU137" s="461"/>
      <c r="DV137" s="461"/>
      <c r="DW137" s="461"/>
      <c r="DX137" s="461"/>
      <c r="DY137" s="461"/>
      <c r="DZ137" s="461"/>
      <c r="EA137" s="461"/>
      <c r="EB137" s="461"/>
      <c r="EC137" s="461"/>
      <c r="ED137" s="461"/>
      <c r="EE137" s="461"/>
      <c r="EF137" s="461"/>
      <c r="EG137" s="461"/>
      <c r="EH137" s="461"/>
      <c r="EI137" s="461"/>
      <c r="EJ137" s="461"/>
      <c r="EK137" s="461"/>
      <c r="EL137" s="461"/>
      <c r="EM137" s="461"/>
      <c r="EN137" s="461"/>
      <c r="EO137" s="461"/>
      <c r="EP137" s="461"/>
      <c r="EQ137" s="461"/>
      <c r="ER137" s="461"/>
      <c r="ES137" s="461"/>
      <c r="ET137" s="461"/>
      <c r="EU137" s="461"/>
      <c r="EV137" s="461"/>
      <c r="EW137" s="461"/>
      <c r="EX137" s="461"/>
      <c r="EY137" s="461"/>
      <c r="EZ137" s="461"/>
      <c r="FA137" s="461"/>
      <c r="FB137" s="461"/>
      <c r="FC137" s="461"/>
      <c r="FD137" s="461"/>
      <c r="FE137" s="461"/>
      <c r="FF137" s="461"/>
      <c r="FG137" s="461"/>
      <c r="FH137" s="461"/>
      <c r="FI137" s="461"/>
      <c r="FJ137" s="461"/>
      <c r="FK137" s="461"/>
      <c r="FL137" s="461"/>
      <c r="FM137" s="461"/>
      <c r="FN137" s="461"/>
      <c r="FO137" s="461"/>
      <c r="FP137" s="461">
        <v>0.16012731804658828</v>
      </c>
      <c r="FQ137" s="461">
        <v>0.24565280920627533</v>
      </c>
      <c r="FR137" s="461">
        <v>0.33597977292264736</v>
      </c>
      <c r="FS137" s="461">
        <v>0.28900147261358444</v>
      </c>
      <c r="FT137" s="461">
        <v>0.37537543198279827</v>
      </c>
      <c r="FU137" s="461">
        <v>0.60780554078186355</v>
      </c>
      <c r="FV137" s="461">
        <v>0.61774243286219832</v>
      </c>
      <c r="FW137" s="461">
        <v>0.70979763077428759</v>
      </c>
      <c r="FX137" s="461">
        <v>2.0306930105534566</v>
      </c>
      <c r="FY137" s="461">
        <v>2.8769630055906203</v>
      </c>
      <c r="FZ137" s="461"/>
      <c r="GA137" s="461"/>
      <c r="GB137" s="461"/>
      <c r="GC137" s="461"/>
      <c r="GD137" s="469"/>
      <c r="GE137" s="469"/>
      <c r="GF137" s="469"/>
      <c r="GG137" s="469"/>
      <c r="GH137" s="469">
        <v>1.3588805685773244E-2</v>
      </c>
      <c r="GI137" s="469">
        <v>4.8490587008310847E-4</v>
      </c>
      <c r="GJ137" s="469">
        <v>-0.3431911350168893</v>
      </c>
      <c r="GK137" s="469">
        <v>4.7382528578008918</v>
      </c>
      <c r="GL137" s="469">
        <v>110.76616941354021</v>
      </c>
      <c r="GM137" s="458"/>
      <c r="GN137" s="464"/>
      <c r="GO137" s="470"/>
      <c r="GP137" s="468"/>
    </row>
    <row r="138" spans="1:198" x14ac:dyDescent="0.25">
      <c r="A138" s="465" t="s">
        <v>1575</v>
      </c>
      <c r="B138" s="461">
        <v>2.5348292408907673E-2</v>
      </c>
      <c r="C138" s="461">
        <v>9.9543552334580704E-2</v>
      </c>
      <c r="D138" s="461">
        <v>4.2715875239577022E-3</v>
      </c>
      <c r="E138" s="461">
        <v>7.2150944036109499E-2</v>
      </c>
      <c r="F138" s="461">
        <v>0.28274046604398928</v>
      </c>
      <c r="G138" s="461">
        <v>9.5937670757518856E-2</v>
      </c>
      <c r="H138" s="461">
        <v>3.470677861402225E-2</v>
      </c>
      <c r="I138" s="461">
        <v>4.4264705111842641E-2</v>
      </c>
      <c r="J138" s="461">
        <v>3.9934804351897737E-3</v>
      </c>
      <c r="K138" s="461">
        <v>4.4270969785206782E-2</v>
      </c>
      <c r="L138" s="461">
        <v>1.0436003503197787E-2</v>
      </c>
      <c r="M138" s="461">
        <v>2.756417047706294E-2</v>
      </c>
      <c r="N138" s="461">
        <v>7.6108907191949848E-2</v>
      </c>
      <c r="O138" s="461">
        <v>1.0928748803401936E-2</v>
      </c>
      <c r="P138" s="461">
        <v>0.22766905970179435</v>
      </c>
      <c r="Q138" s="461">
        <v>0.10295065140649008</v>
      </c>
      <c r="R138" s="461">
        <v>7.969404547272704E-3</v>
      </c>
      <c r="S138" s="461">
        <v>0.42710200710030133</v>
      </c>
      <c r="T138" s="461">
        <v>0.43908935446768893</v>
      </c>
      <c r="U138" s="461">
        <v>0.48146868818225425</v>
      </c>
      <c r="V138" s="461"/>
      <c r="W138" s="461">
        <v>1.0203825552435861E-2</v>
      </c>
      <c r="X138" s="461">
        <v>0.27745257782002108</v>
      </c>
      <c r="Y138" s="461">
        <v>6.3149152934420597E-3</v>
      </c>
      <c r="Z138" s="461">
        <v>4.8676677804111439E-2</v>
      </c>
      <c r="AA138" s="461"/>
      <c r="AB138" s="461"/>
      <c r="AC138" s="461"/>
      <c r="AD138" s="461">
        <v>0.1235134846733129</v>
      </c>
      <c r="AE138" s="461">
        <v>1.0671428120104416E-2</v>
      </c>
      <c r="AF138" s="461"/>
      <c r="AG138" s="461"/>
      <c r="AH138" s="461">
        <v>3.9505505511796282E-2</v>
      </c>
      <c r="AI138" s="461">
        <v>4.3039819751367174</v>
      </c>
      <c r="AJ138" s="461">
        <v>1.6608751397304237E-3</v>
      </c>
      <c r="AK138" s="461"/>
      <c r="AL138" s="461">
        <v>1.4525534836191815E-5</v>
      </c>
      <c r="AM138" s="461"/>
      <c r="AN138" s="461">
        <v>0.26687484923841032</v>
      </c>
      <c r="AO138" s="461">
        <v>5.1466853026283121E-2</v>
      </c>
      <c r="AP138" s="461">
        <v>4.9968063657377861E-2</v>
      </c>
      <c r="AQ138" s="461">
        <v>0.12214308579421035</v>
      </c>
      <c r="AR138" s="461">
        <v>6.3955951088656365E-5</v>
      </c>
      <c r="AS138" s="461">
        <v>1.3153017464493238E-3</v>
      </c>
      <c r="AT138" s="461">
        <v>1.1837715718043916E-2</v>
      </c>
      <c r="AU138" s="461">
        <v>2.2897331204909817</v>
      </c>
      <c r="AV138" s="461"/>
      <c r="AW138" s="461">
        <v>0.37157042393704348</v>
      </c>
      <c r="AX138" s="461">
        <v>11.407573514613022</v>
      </c>
      <c r="AY138" s="461">
        <v>0.42317837449091905</v>
      </c>
      <c r="AZ138" s="461">
        <v>2.5042124210647634E-2</v>
      </c>
      <c r="BA138" s="461">
        <v>0.13432791164961172</v>
      </c>
      <c r="BB138" s="461">
        <v>0.34875834619003993</v>
      </c>
      <c r="BC138" s="461">
        <v>2.1540446981424795E-3</v>
      </c>
      <c r="BD138" s="461">
        <v>5.2993453706385804E-4</v>
      </c>
      <c r="BE138" s="461">
        <v>0.17845491593935378</v>
      </c>
      <c r="BF138" s="461">
        <v>0.3797169380978816</v>
      </c>
      <c r="BG138" s="461">
        <v>3.2126734910908494</v>
      </c>
      <c r="BH138" s="461">
        <v>0.13845494759006405</v>
      </c>
      <c r="BI138" s="461">
        <v>0.32713599944445815</v>
      </c>
      <c r="BJ138" s="461">
        <v>0.80085482147084885</v>
      </c>
      <c r="BK138" s="480">
        <v>0.5130058751592006</v>
      </c>
      <c r="BL138" s="461">
        <v>0.15574493220417709</v>
      </c>
      <c r="BM138" s="461">
        <v>78.556382449303015</v>
      </c>
      <c r="BN138" s="461">
        <v>1.5737981137835639</v>
      </c>
      <c r="BO138" s="461">
        <v>0.31067687453024695</v>
      </c>
      <c r="BP138" s="461">
        <v>0.32347184312328642</v>
      </c>
      <c r="BQ138" s="461">
        <v>1.0831821844583871</v>
      </c>
      <c r="BR138" s="461">
        <v>0.19473178805283067</v>
      </c>
      <c r="BS138" s="461">
        <v>0.1793506465375323</v>
      </c>
      <c r="BT138" s="461"/>
      <c r="BU138" s="461">
        <v>0.46846007533131051</v>
      </c>
      <c r="BV138" s="461">
        <v>3.0310592114342245E-2</v>
      </c>
      <c r="BW138" s="461">
        <v>1.32183898218861E-2</v>
      </c>
      <c r="BX138" s="461">
        <v>1.3272866592141264</v>
      </c>
      <c r="BY138" s="461">
        <v>3.1179650088975994</v>
      </c>
      <c r="BZ138" s="461">
        <v>7.6699843056769623</v>
      </c>
      <c r="CA138" s="461"/>
      <c r="CB138" s="461"/>
      <c r="CC138" s="461"/>
      <c r="CD138" s="461"/>
      <c r="CE138" s="461"/>
      <c r="CF138" s="461"/>
      <c r="CG138" s="461"/>
      <c r="CH138" s="461"/>
      <c r="CI138" s="461"/>
      <c r="CJ138" s="461"/>
      <c r="CK138" s="461"/>
      <c r="CL138" s="461"/>
      <c r="CM138" s="461"/>
      <c r="CN138" s="461"/>
      <c r="CO138" s="461"/>
      <c r="CP138" s="461"/>
      <c r="CQ138" s="461"/>
      <c r="CR138" s="461"/>
      <c r="CS138" s="461"/>
      <c r="CT138" s="461"/>
      <c r="CU138" s="461"/>
      <c r="CV138" s="461"/>
      <c r="CW138" s="461"/>
      <c r="CX138" s="461"/>
      <c r="CY138" s="461"/>
      <c r="CZ138" s="461"/>
      <c r="DA138" s="461"/>
      <c r="DB138" s="461"/>
      <c r="DC138" s="461"/>
      <c r="DD138" s="461"/>
      <c r="DE138" s="461"/>
      <c r="DF138" s="461"/>
      <c r="DG138" s="461"/>
      <c r="DH138" s="461"/>
      <c r="DI138" s="461"/>
      <c r="DJ138" s="461"/>
      <c r="DK138" s="461"/>
      <c r="DL138" s="461"/>
      <c r="DM138" s="461"/>
      <c r="DN138" s="461"/>
      <c r="DO138" s="461"/>
      <c r="DP138" s="461"/>
      <c r="DQ138" s="461"/>
      <c r="DR138" s="461"/>
      <c r="DS138" s="461"/>
      <c r="DT138" s="461"/>
      <c r="DU138" s="461"/>
      <c r="DV138" s="461"/>
      <c r="DW138" s="461"/>
      <c r="DX138" s="461"/>
      <c r="DY138" s="461"/>
      <c r="DZ138" s="461"/>
      <c r="EA138" s="461"/>
      <c r="EB138" s="461"/>
      <c r="EC138" s="461"/>
      <c r="ED138" s="461"/>
      <c r="EE138" s="461"/>
      <c r="EF138" s="461"/>
      <c r="EG138" s="461"/>
      <c r="EH138" s="461"/>
      <c r="EI138" s="461"/>
      <c r="EJ138" s="461"/>
      <c r="EK138" s="461"/>
      <c r="EL138" s="461"/>
      <c r="EM138" s="461"/>
      <c r="EN138" s="461"/>
      <c r="EO138" s="461"/>
      <c r="EP138" s="461"/>
      <c r="EQ138" s="461"/>
      <c r="ER138" s="461"/>
      <c r="ES138" s="461"/>
      <c r="ET138" s="461"/>
      <c r="EU138" s="461"/>
      <c r="EV138" s="461"/>
      <c r="EW138" s="461"/>
      <c r="EX138" s="461"/>
      <c r="EY138" s="461"/>
      <c r="EZ138" s="461"/>
      <c r="FA138" s="461"/>
      <c r="FB138" s="461"/>
      <c r="FC138" s="461"/>
      <c r="FD138" s="461"/>
      <c r="FE138" s="461"/>
      <c r="FF138" s="461"/>
      <c r="FG138" s="461"/>
      <c r="FH138" s="461"/>
      <c r="FI138" s="461"/>
      <c r="FJ138" s="461"/>
      <c r="FK138" s="461"/>
      <c r="FL138" s="461"/>
      <c r="FM138" s="461"/>
      <c r="FN138" s="461"/>
      <c r="FO138" s="461"/>
      <c r="FP138" s="461">
        <v>0.24761990697032984</v>
      </c>
      <c r="FQ138" s="461">
        <v>0.3240245831181266</v>
      </c>
      <c r="FR138" s="461">
        <v>0.45823353267383959</v>
      </c>
      <c r="FS138" s="461">
        <v>0.4258921489700383</v>
      </c>
      <c r="FT138" s="461">
        <v>0.49910276523258329</v>
      </c>
      <c r="FU138" s="461">
        <v>0.58409881982999168</v>
      </c>
      <c r="FV138" s="461">
        <v>0.94511845673599504</v>
      </c>
      <c r="FW138" s="461">
        <v>1.204420001867113</v>
      </c>
      <c r="FX138" s="461">
        <v>2.2467450479161792</v>
      </c>
      <c r="FY138" s="461">
        <v>3.928699171697962</v>
      </c>
      <c r="FZ138" s="461"/>
      <c r="GA138" s="461"/>
      <c r="GB138" s="461"/>
      <c r="GC138" s="461"/>
      <c r="GD138" s="469"/>
      <c r="GE138" s="469"/>
      <c r="GF138" s="469"/>
      <c r="GG138" s="469"/>
      <c r="GH138" s="469">
        <v>2.847885624169056E-2</v>
      </c>
      <c r="GI138" s="469">
        <v>1.0162456424928205E-3</v>
      </c>
      <c r="GJ138" s="469">
        <v>-0.35760647209759605</v>
      </c>
      <c r="GK138" s="469">
        <v>5.377187295805359</v>
      </c>
      <c r="GL138" s="469">
        <v>139.31494006541462</v>
      </c>
      <c r="GM138" s="458"/>
      <c r="GN138" s="464"/>
      <c r="GO138" s="470"/>
      <c r="GP138" s="468"/>
    </row>
    <row r="139" spans="1:198" x14ac:dyDescent="0.25">
      <c r="A139" s="465" t="s">
        <v>1574</v>
      </c>
      <c r="B139" s="461">
        <v>7.7068842069492249E-3</v>
      </c>
      <c r="C139" s="461">
        <v>3.0350205552500696E-2</v>
      </c>
      <c r="D139" s="461">
        <v>1.3007181967896833E-3</v>
      </c>
      <c r="E139" s="461">
        <v>2.1878771006902855E-2</v>
      </c>
      <c r="F139" s="461">
        <v>8.5815557912736776E-2</v>
      </c>
      <c r="G139" s="461">
        <v>2.9170245162974555E-2</v>
      </c>
      <c r="H139" s="461">
        <v>1.0569889867862439E-2</v>
      </c>
      <c r="I139" s="461">
        <v>1.3465892946768993E-2</v>
      </c>
      <c r="J139" s="461">
        <v>1.213645156970825E-3</v>
      </c>
      <c r="K139" s="461">
        <v>1.3471540238935934E-2</v>
      </c>
      <c r="L139" s="461">
        <v>3.1745234340557014E-3</v>
      </c>
      <c r="M139" s="461">
        <v>8.3825677177461564E-3</v>
      </c>
      <c r="N139" s="461">
        <v>1.8078785595258447E-2</v>
      </c>
      <c r="O139" s="461"/>
      <c r="P139" s="461">
        <v>0.15165753605110638</v>
      </c>
      <c r="Q139" s="461">
        <v>0.18140498945948258</v>
      </c>
      <c r="R139" s="461">
        <v>7.58119421879681E-3</v>
      </c>
      <c r="S139" s="461">
        <v>1.2827694473909372</v>
      </c>
      <c r="T139" s="461">
        <v>0.17684594921626084</v>
      </c>
      <c r="U139" s="461">
        <v>0.45801510184699212</v>
      </c>
      <c r="V139" s="461"/>
      <c r="W139" s="461"/>
      <c r="X139" s="461"/>
      <c r="Y139" s="461"/>
      <c r="Z139" s="461"/>
      <c r="AA139" s="461"/>
      <c r="AB139" s="461"/>
      <c r="AC139" s="461"/>
      <c r="AD139" s="461"/>
      <c r="AE139" s="461"/>
      <c r="AF139" s="461"/>
      <c r="AG139" s="461"/>
      <c r="AH139" s="461"/>
      <c r="AI139" s="461"/>
      <c r="AJ139" s="461">
        <v>0.20223633669239333</v>
      </c>
      <c r="AK139" s="461">
        <v>3.5512686194234641E-3</v>
      </c>
      <c r="AL139" s="461">
        <v>3.3390755285813683E-3</v>
      </c>
      <c r="AM139" s="461">
        <v>2.9289299519339302E-2</v>
      </c>
      <c r="AN139" s="461">
        <v>0.55735573841147268</v>
      </c>
      <c r="AO139" s="461"/>
      <c r="AP139" s="461">
        <v>3.3844126640151461E-3</v>
      </c>
      <c r="AQ139" s="461">
        <v>0.13794904685992632</v>
      </c>
      <c r="AR139" s="461">
        <v>1.1245112093098576E-3</v>
      </c>
      <c r="AS139" s="461">
        <v>2.3126410167160105E-2</v>
      </c>
      <c r="AT139" s="461">
        <v>0.20813769150444097</v>
      </c>
      <c r="AU139" s="461">
        <v>0.24272066053092875</v>
      </c>
      <c r="AV139" s="461">
        <v>0.4962298639754989</v>
      </c>
      <c r="AW139" s="461">
        <v>0.15785720611401227</v>
      </c>
      <c r="AX139" s="461">
        <v>0.1731344360437396</v>
      </c>
      <c r="AY139" s="461">
        <v>27.928371546765863</v>
      </c>
      <c r="AZ139" s="461">
        <v>20.019782420442652</v>
      </c>
      <c r="BA139" s="461">
        <v>35.559496497805505</v>
      </c>
      <c r="BB139" s="461">
        <v>21.913869901591823</v>
      </c>
      <c r="BC139" s="461">
        <v>7.0960317332425651E-2</v>
      </c>
      <c r="BD139" s="461">
        <v>1.7457540666584673E-2</v>
      </c>
      <c r="BE139" s="461">
        <v>5.8694567699342111</v>
      </c>
      <c r="BF139" s="461">
        <v>0.66799788137187044</v>
      </c>
      <c r="BG139" s="461">
        <v>21.944029081414939</v>
      </c>
      <c r="BH139" s="461">
        <v>1.9385321616048947</v>
      </c>
      <c r="BI139" s="461">
        <v>0.71980683474805662</v>
      </c>
      <c r="BJ139" s="461">
        <v>0.50710610492263286</v>
      </c>
      <c r="BK139" s="480">
        <v>1.5517321917399016</v>
      </c>
      <c r="BL139" s="461">
        <v>0.23900231250824944</v>
      </c>
      <c r="BM139" s="461">
        <v>21.48233429449548</v>
      </c>
      <c r="BN139" s="461"/>
      <c r="BO139" s="461"/>
      <c r="BP139" s="461">
        <v>0.24044791794561104</v>
      </c>
      <c r="BQ139" s="461">
        <v>0.80484697262093619</v>
      </c>
      <c r="BR139" s="461">
        <v>0.14499250986791948</v>
      </c>
      <c r="BS139" s="461">
        <v>0.13355043651642981</v>
      </c>
      <c r="BT139" s="461"/>
      <c r="BU139" s="461">
        <v>0.34814388220519621</v>
      </c>
      <c r="BV139" s="461">
        <v>2.2528071311436446E-2</v>
      </c>
      <c r="BW139" s="461"/>
      <c r="BX139" s="461">
        <v>0.32452203652979594</v>
      </c>
      <c r="BY139" s="461">
        <v>0.43406266356058554</v>
      </c>
      <c r="BZ139" s="461">
        <v>1.7267303708435504</v>
      </c>
      <c r="CA139" s="461"/>
      <c r="CB139" s="461"/>
      <c r="CC139" s="461"/>
      <c r="CD139" s="461"/>
      <c r="CE139" s="461"/>
      <c r="CF139" s="461"/>
      <c r="CG139" s="461"/>
      <c r="CH139" s="461"/>
      <c r="CI139" s="461"/>
      <c r="CJ139" s="461"/>
      <c r="CK139" s="461"/>
      <c r="CL139" s="461"/>
      <c r="CM139" s="461"/>
      <c r="CN139" s="461"/>
      <c r="CO139" s="461"/>
      <c r="CP139" s="461"/>
      <c r="CQ139" s="461"/>
      <c r="CR139" s="461"/>
      <c r="CS139" s="461"/>
      <c r="CT139" s="461"/>
      <c r="CU139" s="461"/>
      <c r="CV139" s="461"/>
      <c r="CW139" s="461"/>
      <c r="CX139" s="461"/>
      <c r="CY139" s="461"/>
      <c r="CZ139" s="461"/>
      <c r="DA139" s="461"/>
      <c r="DB139" s="461"/>
      <c r="DC139" s="461"/>
      <c r="DD139" s="461"/>
      <c r="DE139" s="461"/>
      <c r="DF139" s="461"/>
      <c r="DG139" s="461"/>
      <c r="DH139" s="461"/>
      <c r="DI139" s="461"/>
      <c r="DJ139" s="461"/>
      <c r="DK139" s="461"/>
      <c r="DL139" s="461"/>
      <c r="DM139" s="461"/>
      <c r="DN139" s="461"/>
      <c r="DO139" s="461"/>
      <c r="DP139" s="461"/>
      <c r="DQ139" s="461"/>
      <c r="DR139" s="461"/>
      <c r="DS139" s="461"/>
      <c r="DT139" s="461"/>
      <c r="DU139" s="461"/>
      <c r="DV139" s="461"/>
      <c r="DW139" s="461"/>
      <c r="DX139" s="461"/>
      <c r="DY139" s="461"/>
      <c r="DZ139" s="461"/>
      <c r="EA139" s="461"/>
      <c r="EB139" s="461"/>
      <c r="EC139" s="461"/>
      <c r="ED139" s="461"/>
      <c r="EE139" s="461"/>
      <c r="EF139" s="461"/>
      <c r="EG139" s="461"/>
      <c r="EH139" s="461"/>
      <c r="EI139" s="461"/>
      <c r="EJ139" s="461"/>
      <c r="EK139" s="461"/>
      <c r="EL139" s="461"/>
      <c r="EM139" s="461"/>
      <c r="EN139" s="461"/>
      <c r="EO139" s="461"/>
      <c r="EP139" s="461"/>
      <c r="EQ139" s="461"/>
      <c r="ER139" s="461"/>
      <c r="ES139" s="461"/>
      <c r="ET139" s="461"/>
      <c r="EU139" s="461"/>
      <c r="EV139" s="461"/>
      <c r="EW139" s="461"/>
      <c r="EX139" s="461"/>
      <c r="EY139" s="461"/>
      <c r="EZ139" s="461"/>
      <c r="FA139" s="461"/>
      <c r="FB139" s="461"/>
      <c r="FC139" s="461"/>
      <c r="FD139" s="461"/>
      <c r="FE139" s="461"/>
      <c r="FF139" s="461"/>
      <c r="FG139" s="461"/>
      <c r="FH139" s="461"/>
      <c r="FI139" s="461"/>
      <c r="FJ139" s="461"/>
      <c r="FK139" s="461"/>
      <c r="FL139" s="461"/>
      <c r="FM139" s="461"/>
      <c r="FN139" s="461"/>
      <c r="FO139" s="461"/>
      <c r="FP139" s="461"/>
      <c r="FQ139" s="461"/>
      <c r="FR139" s="461"/>
      <c r="FS139" s="461"/>
      <c r="FT139" s="461"/>
      <c r="FU139" s="461"/>
      <c r="FV139" s="461"/>
      <c r="FW139" s="461"/>
      <c r="FX139" s="461"/>
      <c r="FY139" s="461"/>
      <c r="FZ139" s="461"/>
      <c r="GA139" s="461"/>
      <c r="GB139" s="461"/>
      <c r="GC139" s="461"/>
      <c r="GD139" s="469"/>
      <c r="GE139" s="469"/>
      <c r="GF139" s="469"/>
      <c r="GG139" s="469"/>
      <c r="GH139" s="469"/>
      <c r="GI139" s="469"/>
      <c r="GJ139" s="469">
        <v>-0.57394608236665112</v>
      </c>
      <c r="GK139" s="469">
        <v>123.1308303231211</v>
      </c>
      <c r="GL139" s="469">
        <v>291.90893436252122</v>
      </c>
      <c r="GM139" s="458"/>
      <c r="GN139" s="464"/>
      <c r="GO139" s="470"/>
      <c r="GP139" s="468"/>
    </row>
    <row r="140" spans="1:198" x14ac:dyDescent="0.25">
      <c r="A140" s="465" t="s">
        <v>1573</v>
      </c>
      <c r="B140" s="461">
        <v>2.0522432640195302E-3</v>
      </c>
      <c r="C140" s="461">
        <v>8.0877840061311847E-3</v>
      </c>
      <c r="D140" s="461">
        <v>3.4653197813849372E-4</v>
      </c>
      <c r="E140" s="461">
        <v>5.8213096080006622E-3</v>
      </c>
      <c r="F140" s="461">
        <v>2.284134647447993E-2</v>
      </c>
      <c r="G140" s="461">
        <v>7.7681653355397918E-3</v>
      </c>
      <c r="H140" s="461">
        <v>2.8160017135972744E-3</v>
      </c>
      <c r="I140" s="461">
        <v>3.5865523279617422E-3</v>
      </c>
      <c r="J140" s="461">
        <v>3.2312973463016097E-4</v>
      </c>
      <c r="K140" s="461">
        <v>3.5880400965680589E-3</v>
      </c>
      <c r="L140" s="461">
        <v>8.4546413977815832E-4</v>
      </c>
      <c r="M140" s="461">
        <v>2.2323146313150636E-3</v>
      </c>
      <c r="N140" s="461">
        <v>5.4686583756238458E-3</v>
      </c>
      <c r="O140" s="461"/>
      <c r="P140" s="461">
        <v>5.059171491205814E-2</v>
      </c>
      <c r="Q140" s="461">
        <v>6.2356744626663477E-2</v>
      </c>
      <c r="R140" s="461">
        <v>3.3618348626259366E-3</v>
      </c>
      <c r="S140" s="461">
        <v>0.39280284773214003</v>
      </c>
      <c r="T140" s="461">
        <v>0.10355220045364449</v>
      </c>
      <c r="U140" s="461">
        <v>0.20310403513745623</v>
      </c>
      <c r="V140" s="461"/>
      <c r="W140" s="461"/>
      <c r="X140" s="461"/>
      <c r="Y140" s="461"/>
      <c r="Z140" s="461"/>
      <c r="AA140" s="461"/>
      <c r="AB140" s="461"/>
      <c r="AC140" s="461"/>
      <c r="AD140" s="461"/>
      <c r="AE140" s="461"/>
      <c r="AF140" s="461">
        <v>2.2409475693558117E-3</v>
      </c>
      <c r="AG140" s="461"/>
      <c r="AH140" s="461"/>
      <c r="AI140" s="461"/>
      <c r="AJ140" s="461">
        <v>0.13080247310058329</v>
      </c>
      <c r="AK140" s="461"/>
      <c r="AL140" s="461"/>
      <c r="AM140" s="461"/>
      <c r="AN140" s="461">
        <v>0.21709381506104874</v>
      </c>
      <c r="AO140" s="461">
        <v>0.17083312456921762</v>
      </c>
      <c r="AP140" s="461">
        <v>0.25704968712659104</v>
      </c>
      <c r="AQ140" s="461">
        <v>0.37502433443746119</v>
      </c>
      <c r="AR140" s="461">
        <v>3.3998906593304934E-3</v>
      </c>
      <c r="AS140" s="461">
        <v>6.9921282473857274E-2</v>
      </c>
      <c r="AT140" s="461">
        <v>0.62929154226471562</v>
      </c>
      <c r="AU140" s="461">
        <v>0.28992511049990427</v>
      </c>
      <c r="AV140" s="461"/>
      <c r="AW140" s="461">
        <v>0.21420033975738403</v>
      </c>
      <c r="AX140" s="461">
        <v>0.12172925145705638</v>
      </c>
      <c r="AY140" s="461">
        <v>25.416183315648091</v>
      </c>
      <c r="AZ140" s="461">
        <v>11.826594077675571</v>
      </c>
      <c r="BA140" s="461">
        <v>16.05086235889609</v>
      </c>
      <c r="BB140" s="461">
        <v>2.1565265054548166</v>
      </c>
      <c r="BC140" s="461">
        <v>0.13157858928629668</v>
      </c>
      <c r="BD140" s="461">
        <v>3.2370748323411525E-2</v>
      </c>
      <c r="BE140" s="461">
        <v>10.885667722135357</v>
      </c>
      <c r="BF140" s="461">
        <v>0.32648200433085756</v>
      </c>
      <c r="BG140" s="461">
        <v>18.174934576187731</v>
      </c>
      <c r="BH140" s="461">
        <v>1.7015523874741544E-2</v>
      </c>
      <c r="BI140" s="461">
        <v>0.53249488799254352</v>
      </c>
      <c r="BJ140" s="461">
        <v>1.0222260089433153</v>
      </c>
      <c r="BK140" s="480"/>
      <c r="BL140" s="461">
        <v>0.10678106634438553</v>
      </c>
      <c r="BM140" s="461"/>
      <c r="BN140" s="461"/>
      <c r="BO140" s="461"/>
      <c r="BP140" s="461">
        <v>5.7927590003666605E-3</v>
      </c>
      <c r="BQ140" s="461">
        <v>1.9371707650101194E-2</v>
      </c>
      <c r="BR140" s="461">
        <v>3.5090357111486341E-3</v>
      </c>
      <c r="BS140" s="461">
        <v>3.2328103800584231E-3</v>
      </c>
      <c r="BT140" s="461"/>
      <c r="BU140" s="461">
        <v>8.3814430085387068E-3</v>
      </c>
      <c r="BV140" s="461">
        <v>5.4243030194129564E-4</v>
      </c>
      <c r="BW140" s="461"/>
      <c r="BX140" s="461">
        <v>7.2447761035096439E-2</v>
      </c>
      <c r="BY140" s="461">
        <v>0.12423057427485373</v>
      </c>
      <c r="BZ140" s="461">
        <v>0.18034639485588774</v>
      </c>
      <c r="CA140" s="461"/>
      <c r="CB140" s="461"/>
      <c r="CC140" s="461"/>
      <c r="CD140" s="461"/>
      <c r="CE140" s="461"/>
      <c r="CF140" s="461"/>
      <c r="CG140" s="461"/>
      <c r="CH140" s="461"/>
      <c r="CI140" s="461"/>
      <c r="CJ140" s="461"/>
      <c r="CK140" s="461"/>
      <c r="CL140" s="461"/>
      <c r="CM140" s="461"/>
      <c r="CN140" s="461"/>
      <c r="CO140" s="461"/>
      <c r="CP140" s="461"/>
      <c r="CQ140" s="461"/>
      <c r="CR140" s="461"/>
      <c r="CS140" s="461"/>
      <c r="CT140" s="461"/>
      <c r="CU140" s="461"/>
      <c r="CV140" s="461"/>
      <c r="CW140" s="461"/>
      <c r="CX140" s="461"/>
      <c r="CY140" s="461"/>
      <c r="CZ140" s="461"/>
      <c r="DA140" s="461"/>
      <c r="DB140" s="461"/>
      <c r="DC140" s="461"/>
      <c r="DD140" s="461"/>
      <c r="DE140" s="461"/>
      <c r="DF140" s="461"/>
      <c r="DG140" s="461"/>
      <c r="DH140" s="461"/>
      <c r="DI140" s="461"/>
      <c r="DJ140" s="461"/>
      <c r="DK140" s="461"/>
      <c r="DL140" s="461"/>
      <c r="DM140" s="461"/>
      <c r="DN140" s="461"/>
      <c r="DO140" s="461"/>
      <c r="DP140" s="461"/>
      <c r="DQ140" s="461"/>
      <c r="DR140" s="461"/>
      <c r="DS140" s="461"/>
      <c r="DT140" s="461"/>
      <c r="DU140" s="461"/>
      <c r="DV140" s="461"/>
      <c r="DW140" s="461"/>
      <c r="DX140" s="461"/>
      <c r="DY140" s="461"/>
      <c r="DZ140" s="461"/>
      <c r="EA140" s="461"/>
      <c r="EB140" s="461"/>
      <c r="EC140" s="461"/>
      <c r="ED140" s="461"/>
      <c r="EE140" s="461"/>
      <c r="EF140" s="461"/>
      <c r="EG140" s="461"/>
      <c r="EH140" s="461"/>
      <c r="EI140" s="461"/>
      <c r="EJ140" s="461"/>
      <c r="EK140" s="461"/>
      <c r="EL140" s="461"/>
      <c r="EM140" s="461"/>
      <c r="EN140" s="461"/>
      <c r="EO140" s="461"/>
      <c r="EP140" s="461"/>
      <c r="EQ140" s="461"/>
      <c r="ER140" s="461"/>
      <c r="ES140" s="461"/>
      <c r="ET140" s="461"/>
      <c r="EU140" s="461"/>
      <c r="EV140" s="461"/>
      <c r="EW140" s="461"/>
      <c r="EX140" s="461"/>
      <c r="EY140" s="461"/>
      <c r="EZ140" s="461"/>
      <c r="FA140" s="461"/>
      <c r="FB140" s="461"/>
      <c r="FC140" s="461"/>
      <c r="FD140" s="461"/>
      <c r="FE140" s="461"/>
      <c r="FF140" s="461"/>
      <c r="FG140" s="461"/>
      <c r="FH140" s="461"/>
      <c r="FI140" s="461"/>
      <c r="FJ140" s="461"/>
      <c r="FK140" s="461"/>
      <c r="FL140" s="461"/>
      <c r="FM140" s="461"/>
      <c r="FN140" s="461"/>
      <c r="FO140" s="461"/>
      <c r="FP140" s="461"/>
      <c r="FQ140" s="461"/>
      <c r="FR140" s="461"/>
      <c r="FS140" s="461"/>
      <c r="FT140" s="461"/>
      <c r="FU140" s="461"/>
      <c r="FV140" s="461"/>
      <c r="FW140" s="461"/>
      <c r="FX140" s="461"/>
      <c r="FY140" s="461"/>
      <c r="FZ140" s="461"/>
      <c r="GA140" s="461"/>
      <c r="GB140" s="461"/>
      <c r="GC140" s="461"/>
      <c r="GD140" s="469"/>
      <c r="GE140" s="469"/>
      <c r="GF140" s="469"/>
      <c r="GG140" s="469"/>
      <c r="GH140" s="469">
        <v>1.5247092942906251</v>
      </c>
      <c r="GI140" s="469">
        <v>5.4408054987926419E-2</v>
      </c>
      <c r="GJ140" s="469">
        <v>-0.3370244260970009</v>
      </c>
      <c r="GK140" s="469">
        <v>42.144984263703996</v>
      </c>
      <c r="GL140" s="469">
        <v>133.84770820658363</v>
      </c>
      <c r="GM140" s="458"/>
      <c r="GN140" s="464"/>
      <c r="GO140" s="470"/>
      <c r="GP140" s="468"/>
    </row>
    <row r="141" spans="1:198" x14ac:dyDescent="0.25">
      <c r="A141" s="465" t="s">
        <v>1572</v>
      </c>
      <c r="B141" s="461">
        <v>0.2422145620695941</v>
      </c>
      <c r="C141" s="461">
        <v>0.92011042649312669</v>
      </c>
      <c r="D141" s="461">
        <v>4.0064553533134768E-2</v>
      </c>
      <c r="E141" s="461">
        <v>0.71133731283970769</v>
      </c>
      <c r="F141" s="461">
        <v>2.7539333969602691</v>
      </c>
      <c r="G141" s="461">
        <v>0.91555991746266951</v>
      </c>
      <c r="H141" s="461">
        <v>0.32506774986949605</v>
      </c>
      <c r="I141" s="461">
        <v>0.41989782762485006</v>
      </c>
      <c r="J141" s="461">
        <v>3.8367408769258718E-2</v>
      </c>
      <c r="K141" s="461">
        <v>0.41896582489723266</v>
      </c>
      <c r="L141" s="461">
        <v>9.9132778944409097E-2</v>
      </c>
      <c r="M141" s="461">
        <v>0.26266753657857633</v>
      </c>
      <c r="N141" s="461">
        <v>0.57686917376778368</v>
      </c>
      <c r="O141" s="461">
        <v>6.1085044252373592E-2</v>
      </c>
      <c r="P141" s="461">
        <v>2.0597159214938148</v>
      </c>
      <c r="Q141" s="461">
        <v>1.240481838745066</v>
      </c>
      <c r="R141" s="461">
        <v>5.6911526609922887E-2</v>
      </c>
      <c r="S141" s="461">
        <v>5.9862574211577071</v>
      </c>
      <c r="T141" s="461">
        <v>4.0105208769818335</v>
      </c>
      <c r="U141" s="461">
        <v>3.4382892594787724</v>
      </c>
      <c r="V141" s="461"/>
      <c r="W141" s="461"/>
      <c r="X141" s="461"/>
      <c r="Y141" s="461"/>
      <c r="Z141" s="461"/>
      <c r="AA141" s="461"/>
      <c r="AB141" s="461"/>
      <c r="AC141" s="461"/>
      <c r="AD141" s="461"/>
      <c r="AE141" s="461"/>
      <c r="AF141" s="461"/>
      <c r="AG141" s="461"/>
      <c r="AH141" s="461"/>
      <c r="AI141" s="461">
        <v>5.6150773761661277E-2</v>
      </c>
      <c r="AJ141" s="461">
        <v>7.9864207284966321E-2</v>
      </c>
      <c r="AK141" s="461">
        <v>8.3607200503011236E-2</v>
      </c>
      <c r="AL141" s="461">
        <v>0.13484483989600607</v>
      </c>
      <c r="AM141" s="461">
        <v>0.12635095964075269</v>
      </c>
      <c r="AN141" s="461">
        <v>0.77837046743626148</v>
      </c>
      <c r="AO141" s="461">
        <v>2.7468818896820615</v>
      </c>
      <c r="AP141" s="461">
        <v>0.67961542950179277</v>
      </c>
      <c r="AQ141" s="461"/>
      <c r="AR141" s="461">
        <v>7.4944283318424858E-3</v>
      </c>
      <c r="AS141" s="461">
        <v>0.15412849790705549</v>
      </c>
      <c r="AT141" s="461">
        <v>1.3871564811634995</v>
      </c>
      <c r="AU141" s="461">
        <v>0.11511233830888687</v>
      </c>
      <c r="AV141" s="461">
        <v>0.29621279574074721</v>
      </c>
      <c r="AW141" s="461">
        <v>2.2171291303611262</v>
      </c>
      <c r="AX141" s="461">
        <v>0.22127259099013125</v>
      </c>
      <c r="AY141" s="461">
        <v>2.2281598773306124</v>
      </c>
      <c r="AZ141" s="461">
        <v>2.277147424694469E-3</v>
      </c>
      <c r="BA141" s="461">
        <v>6.6396532171757965</v>
      </c>
      <c r="BB141" s="461">
        <v>18.708338100591448</v>
      </c>
      <c r="BC141" s="461">
        <v>3.4710805954236812E-2</v>
      </c>
      <c r="BD141" s="461">
        <v>8.5394954433091284E-3</v>
      </c>
      <c r="BE141" s="461">
        <v>2.8739839100376967</v>
      </c>
      <c r="BF141" s="461">
        <v>0.4318854632190457</v>
      </c>
      <c r="BG141" s="461">
        <v>7.8678876999235872</v>
      </c>
      <c r="BH141" s="461">
        <v>0.43262136257524619</v>
      </c>
      <c r="BI141" s="461">
        <v>2.6329223903666072</v>
      </c>
      <c r="BJ141" s="461">
        <v>1.6720232218835303</v>
      </c>
      <c r="BK141" s="480">
        <v>1.9317824473545333</v>
      </c>
      <c r="BL141" s="461">
        <v>0.94498521052166273</v>
      </c>
      <c r="BM141" s="461">
        <v>54.997545514705365</v>
      </c>
      <c r="BN141" s="461">
        <v>7.1490298589360783</v>
      </c>
      <c r="BO141" s="461">
        <v>0.26496297252388756</v>
      </c>
      <c r="BP141" s="461">
        <v>0.20176611382206197</v>
      </c>
      <c r="BQ141" s="461">
        <v>0.67528163662377605</v>
      </c>
      <c r="BR141" s="461">
        <v>0.12176971525154516</v>
      </c>
      <c r="BS141" s="461">
        <v>0.11216416934042893</v>
      </c>
      <c r="BT141" s="461"/>
      <c r="BU141" s="461">
        <v>0.29212927303791159</v>
      </c>
      <c r="BV141" s="461">
        <v>8.8984198572749182E-2</v>
      </c>
      <c r="BW141" s="461">
        <v>0.16004035465753955</v>
      </c>
      <c r="BX141" s="461">
        <v>6.5242420944032053</v>
      </c>
      <c r="BY141" s="461">
        <v>5.5433003098697684</v>
      </c>
      <c r="BZ141" s="461">
        <v>9.4252161108226993</v>
      </c>
      <c r="CA141" s="461"/>
      <c r="CB141" s="461"/>
      <c r="CC141" s="461"/>
      <c r="CD141" s="461"/>
      <c r="CE141" s="461"/>
      <c r="CF141" s="461"/>
      <c r="CG141" s="461"/>
      <c r="CH141" s="461"/>
      <c r="CI141" s="461"/>
      <c r="CJ141" s="461"/>
      <c r="CK141" s="461"/>
      <c r="CL141" s="461"/>
      <c r="CM141" s="461"/>
      <c r="CN141" s="461"/>
      <c r="CO141" s="461"/>
      <c r="CP141" s="461"/>
      <c r="CQ141" s="461"/>
      <c r="CR141" s="461"/>
      <c r="CS141" s="461"/>
      <c r="CT141" s="461"/>
      <c r="CU141" s="461"/>
      <c r="CV141" s="461"/>
      <c r="CW141" s="461"/>
      <c r="CX141" s="461"/>
      <c r="CY141" s="461"/>
      <c r="CZ141" s="461"/>
      <c r="DA141" s="461"/>
      <c r="DB141" s="461"/>
      <c r="DC141" s="461"/>
      <c r="DD141" s="461"/>
      <c r="DE141" s="461"/>
      <c r="DF141" s="461"/>
      <c r="DG141" s="461"/>
      <c r="DH141" s="461"/>
      <c r="DI141" s="461"/>
      <c r="DJ141" s="461"/>
      <c r="DK141" s="461"/>
      <c r="DL141" s="461"/>
      <c r="DM141" s="461"/>
      <c r="DN141" s="461"/>
      <c r="DO141" s="461"/>
      <c r="DP141" s="461"/>
      <c r="DQ141" s="461"/>
      <c r="DR141" s="461"/>
      <c r="DS141" s="461"/>
      <c r="DT141" s="461"/>
      <c r="DU141" s="461"/>
      <c r="DV141" s="461"/>
      <c r="DW141" s="461"/>
      <c r="DX141" s="461"/>
      <c r="DY141" s="461"/>
      <c r="DZ141" s="461"/>
      <c r="EA141" s="461"/>
      <c r="EB141" s="461"/>
      <c r="EC141" s="461"/>
      <c r="ED141" s="461"/>
      <c r="EE141" s="461"/>
      <c r="EF141" s="461"/>
      <c r="EG141" s="461"/>
      <c r="EH141" s="461"/>
      <c r="EI141" s="461"/>
      <c r="EJ141" s="461"/>
      <c r="EK141" s="461"/>
      <c r="EL141" s="461"/>
      <c r="EM141" s="461"/>
      <c r="EN141" s="461"/>
      <c r="EO141" s="461"/>
      <c r="EP141" s="461"/>
      <c r="EQ141" s="461"/>
      <c r="ER141" s="461"/>
      <c r="ES141" s="461"/>
      <c r="ET141" s="461"/>
      <c r="EU141" s="461"/>
      <c r="EV141" s="461"/>
      <c r="EW141" s="461"/>
      <c r="EX141" s="461"/>
      <c r="EY141" s="461"/>
      <c r="EZ141" s="461"/>
      <c r="FA141" s="461"/>
      <c r="FB141" s="461"/>
      <c r="FC141" s="461"/>
      <c r="FD141" s="461"/>
      <c r="FE141" s="461"/>
      <c r="FF141" s="461"/>
      <c r="FG141" s="461"/>
      <c r="FH141" s="461"/>
      <c r="FI141" s="461"/>
      <c r="FJ141" s="461"/>
      <c r="FK141" s="461"/>
      <c r="FL141" s="461"/>
      <c r="FM141" s="461"/>
      <c r="FN141" s="461"/>
      <c r="FO141" s="461"/>
      <c r="FP141" s="461">
        <v>0.12894620153984562</v>
      </c>
      <c r="FQ141" s="461">
        <v>0.24642768988775976</v>
      </c>
      <c r="FR141" s="461">
        <v>0.28959673670554675</v>
      </c>
      <c r="FS141" s="461">
        <v>0.29009885037596794</v>
      </c>
      <c r="FT141" s="461">
        <v>0.39878868299650422</v>
      </c>
      <c r="FU141" s="461">
        <v>0.50507596771838981</v>
      </c>
      <c r="FV141" s="461">
        <v>0.46460793057902811</v>
      </c>
      <c r="FW141" s="461">
        <v>0.88013904323525138</v>
      </c>
      <c r="FX141" s="461">
        <v>1.4257506427090687</v>
      </c>
      <c r="FY141" s="461">
        <v>2.510997391034774</v>
      </c>
      <c r="FZ141" s="461"/>
      <c r="GA141" s="461"/>
      <c r="GB141" s="461"/>
      <c r="GC141" s="461"/>
      <c r="GD141" s="469"/>
      <c r="GE141" s="469"/>
      <c r="GF141" s="469"/>
      <c r="GG141" s="469"/>
      <c r="GH141" s="469">
        <v>2.7463098867260305</v>
      </c>
      <c r="GI141" s="469">
        <v>9.7999913747751188E-2</v>
      </c>
      <c r="GJ141" s="469">
        <v>-0.52526766386377632</v>
      </c>
      <c r="GK141" s="469">
        <v>19.948401356238055</v>
      </c>
      <c r="GL141" s="469">
        <v>195.03571769103857</v>
      </c>
      <c r="GM141" s="458"/>
      <c r="GN141" s="464"/>
      <c r="GO141" s="470"/>
      <c r="GP141" s="468"/>
    </row>
    <row r="142" spans="1:198" x14ac:dyDescent="0.25">
      <c r="A142" s="465" t="s">
        <v>1571</v>
      </c>
      <c r="B142" s="461">
        <v>0.16038558758448043</v>
      </c>
      <c r="C142" s="461">
        <v>0.61856761018589113</v>
      </c>
      <c r="D142" s="461">
        <v>2.6717402718977865E-2</v>
      </c>
      <c r="E142" s="461">
        <v>0.46530960447971642</v>
      </c>
      <c r="F142" s="461">
        <v>1.8084362534637664</v>
      </c>
      <c r="G142" s="461">
        <v>0.60616640847967596</v>
      </c>
      <c r="H142" s="461">
        <v>0.21702851287006406</v>
      </c>
      <c r="I142" s="461">
        <v>0.27869311836214761</v>
      </c>
      <c r="J142" s="461">
        <v>2.5356307799413558E-2</v>
      </c>
      <c r="K142" s="461">
        <v>0.27870130957221029</v>
      </c>
      <c r="L142" s="461">
        <v>6.5790899607870698E-2</v>
      </c>
      <c r="M142" s="461">
        <v>0.17413410427670664</v>
      </c>
      <c r="N142" s="461">
        <v>0.49270627623050461</v>
      </c>
      <c r="O142" s="461">
        <v>5.296445633645968E-2</v>
      </c>
      <c r="P142" s="461">
        <v>3.8006199162643561</v>
      </c>
      <c r="Q142" s="461">
        <v>2.3652079965525359</v>
      </c>
      <c r="R142" s="461">
        <v>8.2297150204001621E-2</v>
      </c>
      <c r="S142" s="461">
        <v>9.8988019151048992</v>
      </c>
      <c r="T142" s="461">
        <v>9.2931436117485919</v>
      </c>
      <c r="U142" s="461">
        <v>4.9719525109838454</v>
      </c>
      <c r="V142" s="461"/>
      <c r="W142" s="461"/>
      <c r="X142" s="461"/>
      <c r="Y142" s="461">
        <v>2.9122113700771203E-2</v>
      </c>
      <c r="Z142" s="461"/>
      <c r="AA142" s="461"/>
      <c r="AB142" s="461"/>
      <c r="AC142" s="461"/>
      <c r="AD142" s="461"/>
      <c r="AE142" s="461"/>
      <c r="AF142" s="461"/>
      <c r="AG142" s="461"/>
      <c r="AH142" s="461"/>
      <c r="AI142" s="461"/>
      <c r="AJ142" s="461">
        <v>4.4330770233098423E-5</v>
      </c>
      <c r="AK142" s="461"/>
      <c r="AL142" s="461"/>
      <c r="AM142" s="461"/>
      <c r="AN142" s="461">
        <v>6.064408578515286E-2</v>
      </c>
      <c r="AO142" s="461"/>
      <c r="AP142" s="461">
        <v>9.2371721857818963E-4</v>
      </c>
      <c r="AQ142" s="461"/>
      <c r="AR142" s="461">
        <v>1.6597720868592731E-5</v>
      </c>
      <c r="AS142" s="461">
        <v>3.4134448591462656E-4</v>
      </c>
      <c r="AT142" s="461">
        <v>3.0721003732316395E-3</v>
      </c>
      <c r="AU142" s="461">
        <v>0.41916498954901071</v>
      </c>
      <c r="AV142" s="461">
        <v>1.2339534993323514E-3</v>
      </c>
      <c r="AW142" s="461">
        <v>2.565212057603182E-2</v>
      </c>
      <c r="AX142" s="461"/>
      <c r="AY142" s="461">
        <v>0.65327331019833712</v>
      </c>
      <c r="AZ142" s="461">
        <v>1.6711476326243074E-2</v>
      </c>
      <c r="BA142" s="461">
        <v>2.27280528230302</v>
      </c>
      <c r="BB142" s="461">
        <v>14.378661841357387</v>
      </c>
      <c r="BC142" s="461">
        <v>0.10169928085671495</v>
      </c>
      <c r="BD142" s="461">
        <v>2.5019889961896091E-2</v>
      </c>
      <c r="BE142" s="461">
        <v>8.4093470340893486</v>
      </c>
      <c r="BF142" s="461">
        <v>0.48899196166211689</v>
      </c>
      <c r="BG142" s="461">
        <v>5.6568382444245477</v>
      </c>
      <c r="BH142" s="461">
        <v>3.2775893934144209</v>
      </c>
      <c r="BI142" s="461">
        <v>7.2660707062814174E-3</v>
      </c>
      <c r="BJ142" s="461">
        <v>4.2081238582626017E-2</v>
      </c>
      <c r="BK142" s="480">
        <v>0.82063925647816172</v>
      </c>
      <c r="BL142" s="461">
        <v>0.94012910132339955</v>
      </c>
      <c r="BM142" s="461">
        <v>3.6436307187975561</v>
      </c>
      <c r="BN142" s="461">
        <v>7.4430274437751756</v>
      </c>
      <c r="BO142" s="461">
        <v>2.1214901003573681E-2</v>
      </c>
      <c r="BP142" s="461">
        <v>0.2053838209635791</v>
      </c>
      <c r="BQ142" s="461">
        <v>0.68739505549919755</v>
      </c>
      <c r="BR142" s="461">
        <v>0.12392927455916998</v>
      </c>
      <c r="BS142" s="461">
        <v>0.11415301697346371</v>
      </c>
      <c r="BT142" s="461"/>
      <c r="BU142" s="461">
        <v>0.29733748448058051</v>
      </c>
      <c r="BV142" s="461">
        <v>2.544632093528393</v>
      </c>
      <c r="BW142" s="461">
        <v>5.0329579873582463E-2</v>
      </c>
      <c r="BX142" s="461">
        <v>16.69684179788808</v>
      </c>
      <c r="BY142" s="461">
        <v>6.5909596904467085</v>
      </c>
      <c r="BZ142" s="461">
        <v>2.4853515956216614</v>
      </c>
      <c r="CA142" s="461"/>
      <c r="CB142" s="461"/>
      <c r="CC142" s="461"/>
      <c r="CD142" s="461"/>
      <c r="CE142" s="461"/>
      <c r="CF142" s="461"/>
      <c r="CG142" s="461"/>
      <c r="CH142" s="461"/>
      <c r="CI142" s="461"/>
      <c r="CJ142" s="461"/>
      <c r="CK142" s="461"/>
      <c r="CL142" s="461"/>
      <c r="CM142" s="461"/>
      <c r="CN142" s="461"/>
      <c r="CO142" s="461"/>
      <c r="CP142" s="461"/>
      <c r="CQ142" s="461"/>
      <c r="CR142" s="461"/>
      <c r="CS142" s="461"/>
      <c r="CT142" s="461"/>
      <c r="CU142" s="461"/>
      <c r="CV142" s="461"/>
      <c r="CW142" s="461"/>
      <c r="CX142" s="461"/>
      <c r="CY142" s="461"/>
      <c r="CZ142" s="461"/>
      <c r="DA142" s="461"/>
      <c r="DB142" s="461"/>
      <c r="DC142" s="461"/>
      <c r="DD142" s="461"/>
      <c r="DE142" s="461"/>
      <c r="DF142" s="461"/>
      <c r="DG142" s="461"/>
      <c r="DH142" s="461"/>
      <c r="DI142" s="461"/>
      <c r="DJ142" s="461"/>
      <c r="DK142" s="461"/>
      <c r="DL142" s="461"/>
      <c r="DM142" s="461"/>
      <c r="DN142" s="461"/>
      <c r="DO142" s="461"/>
      <c r="DP142" s="461"/>
      <c r="DQ142" s="461"/>
      <c r="DR142" s="461"/>
      <c r="DS142" s="461"/>
      <c r="DT142" s="461"/>
      <c r="DU142" s="461"/>
      <c r="DV142" s="461"/>
      <c r="DW142" s="461"/>
      <c r="DX142" s="461"/>
      <c r="DY142" s="461"/>
      <c r="DZ142" s="461"/>
      <c r="EA142" s="461"/>
      <c r="EB142" s="461"/>
      <c r="EC142" s="461"/>
      <c r="ED142" s="461"/>
      <c r="EE142" s="461"/>
      <c r="EF142" s="461"/>
      <c r="EG142" s="461"/>
      <c r="EH142" s="461"/>
      <c r="EI142" s="461"/>
      <c r="EJ142" s="461"/>
      <c r="EK142" s="461"/>
      <c r="EL142" s="461"/>
      <c r="EM142" s="461"/>
      <c r="EN142" s="461"/>
      <c r="EO142" s="461"/>
      <c r="EP142" s="461"/>
      <c r="EQ142" s="461"/>
      <c r="ER142" s="461"/>
      <c r="ES142" s="461"/>
      <c r="ET142" s="461"/>
      <c r="EU142" s="461"/>
      <c r="EV142" s="461"/>
      <c r="EW142" s="461"/>
      <c r="EX142" s="461"/>
      <c r="EY142" s="461"/>
      <c r="EZ142" s="461"/>
      <c r="FA142" s="461"/>
      <c r="FB142" s="461"/>
      <c r="FC142" s="461"/>
      <c r="FD142" s="461"/>
      <c r="FE142" s="461"/>
      <c r="FF142" s="461"/>
      <c r="FG142" s="461"/>
      <c r="FH142" s="461"/>
      <c r="FI142" s="461"/>
      <c r="FJ142" s="461"/>
      <c r="FK142" s="461"/>
      <c r="FL142" s="461"/>
      <c r="FM142" s="461"/>
      <c r="FN142" s="461"/>
      <c r="FO142" s="461"/>
      <c r="FP142" s="461">
        <v>1.2432727993553841E-2</v>
      </c>
      <c r="FQ142" s="461">
        <v>2.7352325928236887E-2</v>
      </c>
      <c r="FR142" s="461">
        <v>4.6284077114262835E-2</v>
      </c>
      <c r="FS142" s="461">
        <v>6.9310657163618963E-2</v>
      </c>
      <c r="FT142" s="461">
        <v>8.8752380353062196E-2</v>
      </c>
      <c r="FU142" s="461">
        <v>0.20432617307196549</v>
      </c>
      <c r="FV142" s="461">
        <v>0.21052653561053991</v>
      </c>
      <c r="FW142" s="461">
        <v>0.56710889723509328</v>
      </c>
      <c r="FX142" s="461">
        <v>0.72943261817244209</v>
      </c>
      <c r="FY142" s="461">
        <v>2.6505293070959803</v>
      </c>
      <c r="FZ142" s="461"/>
      <c r="GA142" s="461"/>
      <c r="GB142" s="461"/>
      <c r="GC142" s="461"/>
      <c r="GD142" s="469"/>
      <c r="GE142" s="469"/>
      <c r="GF142" s="469"/>
      <c r="GG142" s="469"/>
      <c r="GH142" s="469">
        <v>155.74547310697261</v>
      </c>
      <c r="GI142" s="469">
        <v>3.6124757636266045</v>
      </c>
      <c r="GJ142" s="469">
        <v>-2.9210653136217664</v>
      </c>
      <c r="GK142" s="469">
        <v>45.739880531289465</v>
      </c>
      <c r="GL142" s="469">
        <v>321.0012559496061</v>
      </c>
      <c r="GM142" s="458"/>
      <c r="GN142" s="464"/>
      <c r="GO142" s="470"/>
      <c r="GP142" s="468"/>
    </row>
    <row r="143" spans="1:198" x14ac:dyDescent="0.25">
      <c r="A143" s="465" t="s">
        <v>2323</v>
      </c>
      <c r="B143" s="461"/>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c r="AA143" s="461"/>
      <c r="AB143" s="461"/>
      <c r="AC143" s="461"/>
      <c r="AD143" s="461"/>
      <c r="AE143" s="461"/>
      <c r="AF143" s="461"/>
      <c r="AG143" s="461"/>
      <c r="AH143" s="461"/>
      <c r="AI143" s="461"/>
      <c r="AJ143" s="461"/>
      <c r="AK143" s="461"/>
      <c r="AL143" s="461"/>
      <c r="AM143" s="461"/>
      <c r="AN143" s="461"/>
      <c r="AO143" s="461"/>
      <c r="AP143" s="461"/>
      <c r="AQ143" s="461"/>
      <c r="AR143" s="461"/>
      <c r="AS143" s="461"/>
      <c r="AT143" s="461"/>
      <c r="AU143" s="461"/>
      <c r="AV143" s="461"/>
      <c r="AW143" s="461"/>
      <c r="AX143" s="461"/>
      <c r="AY143" s="461"/>
      <c r="AZ143" s="461"/>
      <c r="BA143" s="461"/>
      <c r="BB143" s="461"/>
      <c r="BC143" s="461"/>
      <c r="BD143" s="461"/>
      <c r="BE143" s="461"/>
      <c r="BF143" s="461"/>
      <c r="BG143" s="461">
        <v>0.94090557111997486</v>
      </c>
      <c r="BH143" s="461"/>
      <c r="BI143" s="461"/>
      <c r="BJ143" s="461"/>
      <c r="BK143" s="480"/>
      <c r="BL143" s="461"/>
      <c r="BM143" s="461"/>
      <c r="BN143" s="461"/>
      <c r="BO143" s="461"/>
      <c r="BP143" s="461"/>
      <c r="BQ143" s="461"/>
      <c r="BR143" s="461"/>
      <c r="BS143" s="461"/>
      <c r="BT143" s="461"/>
      <c r="BU143" s="461"/>
      <c r="BV143" s="461"/>
      <c r="BW143" s="461"/>
      <c r="BX143" s="461"/>
      <c r="BY143" s="461"/>
      <c r="BZ143" s="461"/>
      <c r="CA143" s="461"/>
      <c r="CB143" s="461"/>
      <c r="CC143" s="461"/>
      <c r="CD143" s="461"/>
      <c r="CE143" s="461"/>
      <c r="CF143" s="461"/>
      <c r="CG143" s="461"/>
      <c r="CH143" s="461"/>
      <c r="CI143" s="461"/>
      <c r="CJ143" s="461"/>
      <c r="CK143" s="461"/>
      <c r="CL143" s="461"/>
      <c r="CM143" s="461"/>
      <c r="CN143" s="461"/>
      <c r="CO143" s="461"/>
      <c r="CP143" s="461"/>
      <c r="CQ143" s="461"/>
      <c r="CR143" s="461"/>
      <c r="CS143" s="461"/>
      <c r="CT143" s="461"/>
      <c r="CU143" s="461"/>
      <c r="CV143" s="461"/>
      <c r="CW143" s="461"/>
      <c r="CX143" s="461"/>
      <c r="CY143" s="461"/>
      <c r="CZ143" s="461"/>
      <c r="DA143" s="461"/>
      <c r="DB143" s="461"/>
      <c r="DC143" s="461"/>
      <c r="DD143" s="461"/>
      <c r="DE143" s="461"/>
      <c r="DF143" s="461"/>
      <c r="DG143" s="461"/>
      <c r="DH143" s="461"/>
      <c r="DI143" s="461"/>
      <c r="DJ143" s="461"/>
      <c r="DK143" s="461"/>
      <c r="DL143" s="461"/>
      <c r="DM143" s="461"/>
      <c r="DN143" s="461"/>
      <c r="DO143" s="461"/>
      <c r="DP143" s="461"/>
      <c r="DQ143" s="461"/>
      <c r="DR143" s="461"/>
      <c r="DS143" s="461"/>
      <c r="DT143" s="461"/>
      <c r="DU143" s="461"/>
      <c r="DV143" s="461"/>
      <c r="DW143" s="461"/>
      <c r="DX143" s="461"/>
      <c r="DY143" s="461"/>
      <c r="DZ143" s="461"/>
      <c r="EA143" s="461"/>
      <c r="EB143" s="461"/>
      <c r="EC143" s="461"/>
      <c r="ED143" s="461"/>
      <c r="EE143" s="461"/>
      <c r="EF143" s="461"/>
      <c r="EG143" s="461"/>
      <c r="EH143" s="461"/>
      <c r="EI143" s="461"/>
      <c r="EJ143" s="461"/>
      <c r="EK143" s="461"/>
      <c r="EL143" s="461"/>
      <c r="EM143" s="461"/>
      <c r="EN143" s="461"/>
      <c r="EO143" s="461"/>
      <c r="EP143" s="461"/>
      <c r="EQ143" s="461"/>
      <c r="ER143" s="461"/>
      <c r="ES143" s="461"/>
      <c r="ET143" s="461"/>
      <c r="EU143" s="461"/>
      <c r="EV143" s="461"/>
      <c r="EW143" s="461"/>
      <c r="EX143" s="461"/>
      <c r="EY143" s="461"/>
      <c r="EZ143" s="461"/>
      <c r="FA143" s="461"/>
      <c r="FB143" s="461"/>
      <c r="FC143" s="461"/>
      <c r="FD143" s="461"/>
      <c r="FE143" s="461"/>
      <c r="FF143" s="461"/>
      <c r="FG143" s="461"/>
      <c r="FH143" s="461"/>
      <c r="FI143" s="461"/>
      <c r="FJ143" s="461"/>
      <c r="FK143" s="461"/>
      <c r="FL143" s="461"/>
      <c r="FM143" s="461"/>
      <c r="FN143" s="461"/>
      <c r="FO143" s="461"/>
      <c r="FP143" s="461"/>
      <c r="FQ143" s="461"/>
      <c r="FR143" s="461"/>
      <c r="FS143" s="461"/>
      <c r="FT143" s="461"/>
      <c r="FU143" s="461"/>
      <c r="FV143" s="461"/>
      <c r="FW143" s="461"/>
      <c r="FX143" s="461"/>
      <c r="FY143" s="461"/>
      <c r="FZ143" s="461"/>
      <c r="GA143" s="461"/>
      <c r="GB143" s="461"/>
      <c r="GC143" s="461"/>
      <c r="GD143" s="469"/>
      <c r="GE143" s="469"/>
      <c r="GF143" s="469"/>
      <c r="GG143" s="469"/>
      <c r="GH143" s="469"/>
      <c r="GI143" s="469"/>
      <c r="GJ143" s="469"/>
      <c r="GK143" s="469">
        <v>5.9094428880025099E-2</v>
      </c>
      <c r="GL143" s="469">
        <v>1</v>
      </c>
      <c r="GM143" s="458"/>
      <c r="GN143" s="464"/>
      <c r="GO143" s="470"/>
      <c r="GP143" s="468"/>
    </row>
    <row r="144" spans="1:198" x14ac:dyDescent="0.25">
      <c r="A144" s="465" t="s">
        <v>2324</v>
      </c>
      <c r="B144" s="461"/>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c r="AA144" s="461"/>
      <c r="AB144" s="461"/>
      <c r="AC144" s="461"/>
      <c r="AD144" s="461"/>
      <c r="AE144" s="461"/>
      <c r="AF144" s="461"/>
      <c r="AG144" s="461"/>
      <c r="AH144" s="461"/>
      <c r="AI144" s="461"/>
      <c r="AJ144" s="461"/>
      <c r="AK144" s="461"/>
      <c r="AL144" s="461"/>
      <c r="AM144" s="461"/>
      <c r="AN144" s="461"/>
      <c r="AO144" s="461"/>
      <c r="AP144" s="461"/>
      <c r="AQ144" s="461"/>
      <c r="AR144" s="461">
        <v>0.23818960893940991</v>
      </c>
      <c r="AS144" s="461"/>
      <c r="AT144" s="461"/>
      <c r="AU144" s="461"/>
      <c r="AV144" s="461"/>
      <c r="AW144" s="461"/>
      <c r="AX144" s="461"/>
      <c r="AY144" s="461"/>
      <c r="AZ144" s="461"/>
      <c r="BA144" s="461"/>
      <c r="BB144" s="461"/>
      <c r="BC144" s="461"/>
      <c r="BD144" s="461"/>
      <c r="BE144" s="461"/>
      <c r="BF144" s="461"/>
      <c r="BG144" s="461"/>
      <c r="BH144" s="461"/>
      <c r="BI144" s="461"/>
      <c r="BJ144" s="461"/>
      <c r="BK144" s="480"/>
      <c r="BL144" s="461"/>
      <c r="BM144" s="461"/>
      <c r="BN144" s="461"/>
      <c r="BO144" s="461"/>
      <c r="BP144" s="461"/>
      <c r="BQ144" s="461"/>
      <c r="BR144" s="461"/>
      <c r="BS144" s="461"/>
      <c r="BT144" s="461"/>
      <c r="BU144" s="461"/>
      <c r="BV144" s="461"/>
      <c r="BW144" s="461"/>
      <c r="BX144" s="461"/>
      <c r="BY144" s="461"/>
      <c r="BZ144" s="461"/>
      <c r="CA144" s="461"/>
      <c r="CB144" s="461"/>
      <c r="CC144" s="461"/>
      <c r="CD144" s="461"/>
      <c r="CE144" s="461"/>
      <c r="CF144" s="461"/>
      <c r="CG144" s="461"/>
      <c r="CH144" s="461"/>
      <c r="CI144" s="461"/>
      <c r="CJ144" s="461"/>
      <c r="CK144" s="461"/>
      <c r="CL144" s="461"/>
      <c r="CM144" s="461"/>
      <c r="CN144" s="461"/>
      <c r="CO144" s="461"/>
      <c r="CP144" s="461"/>
      <c r="CQ144" s="461"/>
      <c r="CR144" s="461"/>
      <c r="CS144" s="461"/>
      <c r="CT144" s="461"/>
      <c r="CU144" s="461"/>
      <c r="CV144" s="461"/>
      <c r="CW144" s="461"/>
      <c r="CX144" s="461"/>
      <c r="CY144" s="461"/>
      <c r="CZ144" s="461"/>
      <c r="DA144" s="461"/>
      <c r="DB144" s="461"/>
      <c r="DC144" s="461"/>
      <c r="DD144" s="461"/>
      <c r="DE144" s="461"/>
      <c r="DF144" s="461"/>
      <c r="DG144" s="461"/>
      <c r="DH144" s="461"/>
      <c r="DI144" s="461"/>
      <c r="DJ144" s="461"/>
      <c r="DK144" s="461"/>
      <c r="DL144" s="461"/>
      <c r="DM144" s="461"/>
      <c r="DN144" s="461"/>
      <c r="DO144" s="461"/>
      <c r="DP144" s="461"/>
      <c r="DQ144" s="461"/>
      <c r="DR144" s="461"/>
      <c r="DS144" s="461"/>
      <c r="DT144" s="461"/>
      <c r="DU144" s="461"/>
      <c r="DV144" s="461"/>
      <c r="DW144" s="461"/>
      <c r="DX144" s="461"/>
      <c r="DY144" s="461"/>
      <c r="DZ144" s="461"/>
      <c r="EA144" s="461"/>
      <c r="EB144" s="461"/>
      <c r="EC144" s="461"/>
      <c r="ED144" s="461"/>
      <c r="EE144" s="461"/>
      <c r="EF144" s="461"/>
      <c r="EG144" s="461"/>
      <c r="EH144" s="461"/>
      <c r="EI144" s="461"/>
      <c r="EJ144" s="461"/>
      <c r="EK144" s="461"/>
      <c r="EL144" s="461"/>
      <c r="EM144" s="461"/>
      <c r="EN144" s="461"/>
      <c r="EO144" s="461"/>
      <c r="EP144" s="461"/>
      <c r="EQ144" s="461"/>
      <c r="ER144" s="461"/>
      <c r="ES144" s="461"/>
      <c r="ET144" s="461"/>
      <c r="EU144" s="461"/>
      <c r="EV144" s="461"/>
      <c r="EW144" s="461"/>
      <c r="EX144" s="461"/>
      <c r="EY144" s="461"/>
      <c r="EZ144" s="461"/>
      <c r="FA144" s="461"/>
      <c r="FB144" s="461"/>
      <c r="FC144" s="461"/>
      <c r="FD144" s="461"/>
      <c r="FE144" s="461"/>
      <c r="FF144" s="461"/>
      <c r="FG144" s="461"/>
      <c r="FH144" s="461"/>
      <c r="FI144" s="461"/>
      <c r="FJ144" s="461"/>
      <c r="FK144" s="461"/>
      <c r="FL144" s="461"/>
      <c r="FM144" s="461"/>
      <c r="FN144" s="461"/>
      <c r="FO144" s="461"/>
      <c r="FP144" s="461"/>
      <c r="FQ144" s="461"/>
      <c r="FR144" s="461"/>
      <c r="FS144" s="461"/>
      <c r="FT144" s="461"/>
      <c r="FU144" s="461"/>
      <c r="FV144" s="461"/>
      <c r="FW144" s="461"/>
      <c r="FX144" s="461"/>
      <c r="FY144" s="461"/>
      <c r="FZ144" s="461"/>
      <c r="GA144" s="461"/>
      <c r="GB144" s="461"/>
      <c r="GC144" s="461"/>
      <c r="GD144" s="469"/>
      <c r="GE144" s="469"/>
      <c r="GF144" s="469"/>
      <c r="GG144" s="469"/>
      <c r="GH144" s="469"/>
      <c r="GI144" s="469"/>
      <c r="GJ144" s="469"/>
      <c r="GK144" s="469">
        <v>1.4959714701950851E-2</v>
      </c>
      <c r="GL144" s="469">
        <v>0.25314932364136078</v>
      </c>
      <c r="GM144" s="458"/>
      <c r="GN144" s="464"/>
      <c r="GO144" s="470"/>
      <c r="GP144" s="468"/>
    </row>
    <row r="145" spans="1:198" x14ac:dyDescent="0.25">
      <c r="A145" s="465" t="s">
        <v>1570</v>
      </c>
      <c r="B145" s="461">
        <v>1.1036792770311813E-2</v>
      </c>
      <c r="C145" s="461">
        <v>4.3445055000883241E-2</v>
      </c>
      <c r="D145" s="461">
        <v>1.8621858073945298E-3</v>
      </c>
      <c r="E145" s="461">
        <v>3.1346954999948738E-2</v>
      </c>
      <c r="F145" s="461">
        <v>0.12292811100371571</v>
      </c>
      <c r="G145" s="461">
        <v>4.1772387214431654E-2</v>
      </c>
      <c r="H145" s="461">
        <v>1.5132464628932377E-2</v>
      </c>
      <c r="I145" s="461">
        <v>1.9281710318953437E-2</v>
      </c>
      <c r="J145" s="461">
        <v>1.7381744296269311E-3</v>
      </c>
      <c r="K145" s="461">
        <v>1.9289848245685592E-2</v>
      </c>
      <c r="L145" s="461">
        <v>4.5457229877421974E-3</v>
      </c>
      <c r="M145" s="461">
        <v>1.2003959276257274E-2</v>
      </c>
      <c r="N145" s="461">
        <v>3.2382003587563359E-2</v>
      </c>
      <c r="O145" s="461">
        <v>4.6092899935989079E-3</v>
      </c>
      <c r="P145" s="461">
        <v>1.1778161292778275</v>
      </c>
      <c r="Q145" s="461">
        <v>0.38672643433065751</v>
      </c>
      <c r="R145" s="461">
        <v>1.493166382850288E-2</v>
      </c>
      <c r="S145" s="461">
        <v>1.6421629909725957</v>
      </c>
      <c r="T145" s="461">
        <v>1.5124556107063645</v>
      </c>
      <c r="U145" s="461">
        <v>0.90209106003383499</v>
      </c>
      <c r="V145" s="461"/>
      <c r="W145" s="461"/>
      <c r="X145" s="461"/>
      <c r="Y145" s="461"/>
      <c r="Z145" s="461"/>
      <c r="AA145" s="461"/>
      <c r="AB145" s="461"/>
      <c r="AC145" s="461"/>
      <c r="AD145" s="461"/>
      <c r="AE145" s="461"/>
      <c r="AF145" s="461"/>
      <c r="AG145" s="461"/>
      <c r="AH145" s="461"/>
      <c r="AI145" s="461"/>
      <c r="AJ145" s="461">
        <v>1.2026731621924157E-2</v>
      </c>
      <c r="AK145" s="461"/>
      <c r="AL145" s="461"/>
      <c r="AM145" s="461"/>
      <c r="AN145" s="461"/>
      <c r="AO145" s="461"/>
      <c r="AP145" s="461">
        <v>2.5730124863788961E-4</v>
      </c>
      <c r="AQ145" s="461"/>
      <c r="AR145" s="461">
        <v>1.4959714701950871E-2</v>
      </c>
      <c r="AS145" s="461">
        <v>5.0757940271268388E-3</v>
      </c>
      <c r="AT145" s="461">
        <v>4.5682146244141561E-2</v>
      </c>
      <c r="AU145" s="461"/>
      <c r="AV145" s="461"/>
      <c r="AW145" s="461">
        <v>4.6271329680827554E-2</v>
      </c>
      <c r="AX145" s="461">
        <v>6.6499423326495583E-2</v>
      </c>
      <c r="AY145" s="461">
        <v>0.11063657935615204</v>
      </c>
      <c r="AZ145" s="461"/>
      <c r="BA145" s="461">
        <v>0.79171064319047013</v>
      </c>
      <c r="BB145" s="461">
        <v>5.6938038866788006</v>
      </c>
      <c r="BC145" s="461">
        <v>4.5613319993846227E-2</v>
      </c>
      <c r="BD145" s="461">
        <v>1.1221714032085352E-2</v>
      </c>
      <c r="BE145" s="461">
        <v>3.7764183986112152</v>
      </c>
      <c r="BF145" s="461">
        <v>8.0481363239446395</v>
      </c>
      <c r="BG145" s="461">
        <v>1.2737260403320141</v>
      </c>
      <c r="BH145" s="461">
        <v>1.0466384253858612</v>
      </c>
      <c r="BI145" s="461">
        <v>4.2996449655257757E-3</v>
      </c>
      <c r="BJ145" s="461">
        <v>0.12783942762402989</v>
      </c>
      <c r="BK145" s="480">
        <v>7.8355841671329678</v>
      </c>
      <c r="BL145" s="461">
        <v>0.59925040335597046</v>
      </c>
      <c r="BM145" s="461">
        <v>21.729355649572572</v>
      </c>
      <c r="BN145" s="461">
        <v>1.6905543488211798</v>
      </c>
      <c r="BO145" s="461">
        <v>0.10771780217387059</v>
      </c>
      <c r="BP145" s="461">
        <v>0.27884063941435666</v>
      </c>
      <c r="BQ145" s="461">
        <v>0.93355797603972479</v>
      </c>
      <c r="BR145" s="461">
        <v>0.16801076781885771</v>
      </c>
      <c r="BS145" s="461">
        <v>0.15474657878310519</v>
      </c>
      <c r="BT145" s="461"/>
      <c r="BU145" s="461">
        <v>0.40377162625027829</v>
      </c>
      <c r="BV145" s="461">
        <v>2.6125878108797667E-2</v>
      </c>
      <c r="BW145" s="461">
        <v>2.5721906527387022E-2</v>
      </c>
      <c r="BX145" s="461">
        <v>3.1892080239077805</v>
      </c>
      <c r="BY145" s="461">
        <v>3.756952161600672</v>
      </c>
      <c r="BZ145" s="461">
        <v>7.3346001016849591</v>
      </c>
      <c r="CA145" s="461"/>
      <c r="CB145" s="461"/>
      <c r="CC145" s="461"/>
      <c r="CD145" s="461"/>
      <c r="CE145" s="461"/>
      <c r="CF145" s="461"/>
      <c r="CG145" s="461"/>
      <c r="CH145" s="461"/>
      <c r="CI145" s="461"/>
      <c r="CJ145" s="461"/>
      <c r="CK145" s="461"/>
      <c r="CL145" s="461"/>
      <c r="CM145" s="461"/>
      <c r="CN145" s="461"/>
      <c r="CO145" s="461"/>
      <c r="CP145" s="461"/>
      <c r="CQ145" s="461"/>
      <c r="CR145" s="461"/>
      <c r="CS145" s="461"/>
      <c r="CT145" s="461"/>
      <c r="CU145" s="461"/>
      <c r="CV145" s="461"/>
      <c r="CW145" s="461"/>
      <c r="CX145" s="461"/>
      <c r="CY145" s="461"/>
      <c r="CZ145" s="461"/>
      <c r="DA145" s="461"/>
      <c r="DB145" s="461"/>
      <c r="DC145" s="461"/>
      <c r="DD145" s="461"/>
      <c r="DE145" s="461"/>
      <c r="DF145" s="461"/>
      <c r="DG145" s="461"/>
      <c r="DH145" s="461"/>
      <c r="DI145" s="461"/>
      <c r="DJ145" s="461"/>
      <c r="DK145" s="461"/>
      <c r="DL145" s="461"/>
      <c r="DM145" s="461"/>
      <c r="DN145" s="461"/>
      <c r="DO145" s="461"/>
      <c r="DP145" s="461"/>
      <c r="DQ145" s="461"/>
      <c r="DR145" s="461"/>
      <c r="DS145" s="461"/>
      <c r="DT145" s="461"/>
      <c r="DU145" s="461"/>
      <c r="DV145" s="461"/>
      <c r="DW145" s="461"/>
      <c r="DX145" s="461"/>
      <c r="DY145" s="461"/>
      <c r="DZ145" s="461"/>
      <c r="EA145" s="461"/>
      <c r="EB145" s="461"/>
      <c r="EC145" s="461"/>
      <c r="ED145" s="461"/>
      <c r="EE145" s="461"/>
      <c r="EF145" s="461"/>
      <c r="EG145" s="461"/>
      <c r="EH145" s="461"/>
      <c r="EI145" s="461"/>
      <c r="EJ145" s="461"/>
      <c r="EK145" s="461"/>
      <c r="EL145" s="461"/>
      <c r="EM145" s="461"/>
      <c r="EN145" s="461"/>
      <c r="EO145" s="461"/>
      <c r="EP145" s="461"/>
      <c r="EQ145" s="461"/>
      <c r="ER145" s="461"/>
      <c r="ES145" s="461"/>
      <c r="ET145" s="461"/>
      <c r="EU145" s="461"/>
      <c r="EV145" s="461"/>
      <c r="EW145" s="461"/>
      <c r="EX145" s="461"/>
      <c r="EY145" s="461"/>
      <c r="EZ145" s="461"/>
      <c r="FA145" s="461"/>
      <c r="FB145" s="461"/>
      <c r="FC145" s="461"/>
      <c r="FD145" s="461"/>
      <c r="FE145" s="461"/>
      <c r="FF145" s="461"/>
      <c r="FG145" s="461"/>
      <c r="FH145" s="461"/>
      <c r="FI145" s="461"/>
      <c r="FJ145" s="461"/>
      <c r="FK145" s="461"/>
      <c r="FL145" s="461"/>
      <c r="FM145" s="461"/>
      <c r="FN145" s="461"/>
      <c r="FO145" s="461"/>
      <c r="FP145" s="461">
        <v>0.37518468609216049</v>
      </c>
      <c r="FQ145" s="461">
        <v>0.64155647083697831</v>
      </c>
      <c r="FR145" s="461">
        <v>0.78843980857079821</v>
      </c>
      <c r="FS145" s="461">
        <v>0.82329323197872928</v>
      </c>
      <c r="FT145" s="461">
        <v>1.1039794264621619</v>
      </c>
      <c r="FU145" s="461">
        <v>1.2974885300698276</v>
      </c>
      <c r="FV145" s="461">
        <v>1.372137090931324</v>
      </c>
      <c r="FW145" s="461">
        <v>1.7472697786482321</v>
      </c>
      <c r="FX145" s="461">
        <v>2.6731571797485598</v>
      </c>
      <c r="FY145" s="461">
        <v>4.5695215224388317</v>
      </c>
      <c r="FZ145" s="461"/>
      <c r="GA145" s="461"/>
      <c r="GB145" s="461"/>
      <c r="GC145" s="461"/>
      <c r="GD145" s="469"/>
      <c r="GE145" s="469"/>
      <c r="GF145" s="469"/>
      <c r="GG145" s="469"/>
      <c r="GH145" s="469">
        <v>73.048163704799734</v>
      </c>
      <c r="GI145" s="469">
        <v>1.6943331687064214</v>
      </c>
      <c r="GJ145" s="469">
        <v>-0.83211750984036215</v>
      </c>
      <c r="GK145" s="469">
        <v>10.341293021911637</v>
      </c>
      <c r="GL145" s="469">
        <v>174.99607353692804</v>
      </c>
      <c r="GM145" s="458"/>
      <c r="GN145" s="464"/>
      <c r="GO145" s="470"/>
      <c r="GP145" s="468"/>
    </row>
    <row r="146" spans="1:198" x14ac:dyDescent="0.25">
      <c r="A146" s="465" t="s">
        <v>1569</v>
      </c>
      <c r="B146" s="461"/>
      <c r="C146" s="461"/>
      <c r="D146" s="461"/>
      <c r="E146" s="461"/>
      <c r="F146" s="461"/>
      <c r="G146" s="461"/>
      <c r="H146" s="461"/>
      <c r="I146" s="461"/>
      <c r="J146" s="461"/>
      <c r="K146" s="461"/>
      <c r="L146" s="461"/>
      <c r="M146" s="461"/>
      <c r="N146" s="461"/>
      <c r="O146" s="461"/>
      <c r="P146" s="461">
        <v>0.19870133759427117</v>
      </c>
      <c r="Q146" s="461">
        <v>5.4141259649326347E-2</v>
      </c>
      <c r="R146" s="461">
        <v>1.8468307887396459E-3</v>
      </c>
      <c r="S146" s="461">
        <v>0.2463611568977481</v>
      </c>
      <c r="T146" s="461">
        <v>0.18998089950477029</v>
      </c>
      <c r="U146" s="461">
        <v>0.11157561294254724</v>
      </c>
      <c r="V146" s="461"/>
      <c r="W146" s="461"/>
      <c r="X146" s="461"/>
      <c r="Y146" s="461"/>
      <c r="Z146" s="461"/>
      <c r="AA146" s="461"/>
      <c r="AB146" s="461"/>
      <c r="AC146" s="461"/>
      <c r="AD146" s="461"/>
      <c r="AE146" s="461"/>
      <c r="AF146" s="461"/>
      <c r="AG146" s="461"/>
      <c r="AH146" s="461"/>
      <c r="AI146" s="461"/>
      <c r="AJ146" s="461"/>
      <c r="AK146" s="461"/>
      <c r="AL146" s="461"/>
      <c r="AM146" s="461">
        <v>0.23763103021368309</v>
      </c>
      <c r="AN146" s="461"/>
      <c r="AO146" s="461"/>
      <c r="AP146" s="461">
        <v>0.45627530733865362</v>
      </c>
      <c r="AQ146" s="461"/>
      <c r="AR146" s="461">
        <v>9.7426464979744092E-5</v>
      </c>
      <c r="AS146" s="461">
        <v>2.003647781902347E-3</v>
      </c>
      <c r="AT146" s="461">
        <v>1.8032830037121129E-2</v>
      </c>
      <c r="AU146" s="461">
        <v>0.14452420615133083</v>
      </c>
      <c r="AV146" s="461"/>
      <c r="AW146" s="461">
        <v>1.2763796706144969E-3</v>
      </c>
      <c r="AX146" s="461"/>
      <c r="AY146" s="461">
        <v>1.3065982081991416E-2</v>
      </c>
      <c r="AZ146" s="461"/>
      <c r="BA146" s="461">
        <v>8.6045164482723702E-2</v>
      </c>
      <c r="BB146" s="461">
        <v>7.2030016809940172</v>
      </c>
      <c r="BC146" s="461">
        <v>5.9499347853911269E-2</v>
      </c>
      <c r="BD146" s="461">
        <v>1.4637931788395191E-2</v>
      </c>
      <c r="BE146" s="461">
        <v>4.923598243702842</v>
      </c>
      <c r="BF146" s="461">
        <v>7.811819055236314</v>
      </c>
      <c r="BG146" s="461">
        <v>5.7134819117128606</v>
      </c>
      <c r="BH146" s="461">
        <v>0.37214175656030957</v>
      </c>
      <c r="BI146" s="461"/>
      <c r="BJ146" s="461">
        <v>3.8355811992534454E-2</v>
      </c>
      <c r="BK146" s="480">
        <v>1.8159704277783989E-2</v>
      </c>
      <c r="BL146" s="461">
        <v>7.7572620485688387E-2</v>
      </c>
      <c r="BM146" s="461"/>
      <c r="BN146" s="461">
        <v>1.0961119838310807</v>
      </c>
      <c r="BO146" s="461">
        <v>1.1401397112476609E-2</v>
      </c>
      <c r="BP146" s="461">
        <v>0.1148632874595005</v>
      </c>
      <c r="BQ146" s="461">
        <v>0.38428868176172465</v>
      </c>
      <c r="BR146" s="461">
        <v>6.9431817756665959E-2</v>
      </c>
      <c r="BS146" s="461">
        <v>6.3959927884877782E-2</v>
      </c>
      <c r="BT146" s="461"/>
      <c r="BU146" s="461">
        <v>0.16624573580371879</v>
      </c>
      <c r="BV146" s="461">
        <v>70.004307361836894</v>
      </c>
      <c r="BW146" s="461">
        <v>0.56823806154332968</v>
      </c>
      <c r="BX146" s="461">
        <v>7.0919023120511033</v>
      </c>
      <c r="BY146" s="461">
        <v>14.108459674269181</v>
      </c>
      <c r="BZ146" s="461">
        <v>8.1452985352298306</v>
      </c>
      <c r="CA146" s="461"/>
      <c r="CB146" s="461"/>
      <c r="CC146" s="461"/>
      <c r="CD146" s="461"/>
      <c r="CE146" s="461"/>
      <c r="CF146" s="461"/>
      <c r="CG146" s="461"/>
      <c r="CH146" s="461"/>
      <c r="CI146" s="461"/>
      <c r="CJ146" s="461"/>
      <c r="CK146" s="461"/>
      <c r="CL146" s="461"/>
      <c r="CM146" s="461"/>
      <c r="CN146" s="461"/>
      <c r="CO146" s="461"/>
      <c r="CP146" s="461"/>
      <c r="CQ146" s="461"/>
      <c r="CR146" s="461"/>
      <c r="CS146" s="461"/>
      <c r="CT146" s="461"/>
      <c r="CU146" s="461"/>
      <c r="CV146" s="461"/>
      <c r="CW146" s="461"/>
      <c r="CX146" s="461"/>
      <c r="CY146" s="461"/>
      <c r="CZ146" s="461"/>
      <c r="DA146" s="461"/>
      <c r="DB146" s="461"/>
      <c r="DC146" s="461"/>
      <c r="DD146" s="461"/>
      <c r="DE146" s="461"/>
      <c r="DF146" s="461"/>
      <c r="DG146" s="461"/>
      <c r="DH146" s="461"/>
      <c r="DI146" s="461"/>
      <c r="DJ146" s="461"/>
      <c r="DK146" s="461"/>
      <c r="DL146" s="461"/>
      <c r="DM146" s="461"/>
      <c r="DN146" s="461"/>
      <c r="DO146" s="461"/>
      <c r="DP146" s="461"/>
      <c r="DQ146" s="461"/>
      <c r="DR146" s="461"/>
      <c r="DS146" s="461"/>
      <c r="DT146" s="461"/>
      <c r="DU146" s="461"/>
      <c r="DV146" s="461"/>
      <c r="DW146" s="461"/>
      <c r="DX146" s="461"/>
      <c r="DY146" s="461"/>
      <c r="DZ146" s="461"/>
      <c r="EA146" s="461"/>
      <c r="EB146" s="461"/>
      <c r="EC146" s="461"/>
      <c r="ED146" s="461"/>
      <c r="EE146" s="461"/>
      <c r="EF146" s="461"/>
      <c r="EG146" s="461"/>
      <c r="EH146" s="461"/>
      <c r="EI146" s="461"/>
      <c r="EJ146" s="461"/>
      <c r="EK146" s="461"/>
      <c r="EL146" s="461"/>
      <c r="EM146" s="461"/>
      <c r="EN146" s="461"/>
      <c r="EO146" s="461"/>
      <c r="EP146" s="461"/>
      <c r="EQ146" s="461"/>
      <c r="ER146" s="461"/>
      <c r="ES146" s="461"/>
      <c r="ET146" s="461"/>
      <c r="EU146" s="461"/>
      <c r="EV146" s="461"/>
      <c r="EW146" s="461"/>
      <c r="EX146" s="461"/>
      <c r="EY146" s="461"/>
      <c r="EZ146" s="461"/>
      <c r="FA146" s="461"/>
      <c r="FB146" s="461"/>
      <c r="FC146" s="461"/>
      <c r="FD146" s="461"/>
      <c r="FE146" s="461"/>
      <c r="FF146" s="461"/>
      <c r="FG146" s="461"/>
      <c r="FH146" s="461"/>
      <c r="FI146" s="461"/>
      <c r="FJ146" s="461"/>
      <c r="FK146" s="461"/>
      <c r="FL146" s="461"/>
      <c r="FM146" s="461"/>
      <c r="FN146" s="461"/>
      <c r="FO146" s="461"/>
      <c r="FP146" s="461">
        <v>0.22802021242135637</v>
      </c>
      <c r="FQ146" s="461">
        <v>0.3331021432666641</v>
      </c>
      <c r="FR146" s="461">
        <v>0.41195025984255984</v>
      </c>
      <c r="FS146" s="461">
        <v>0.53470379145642666</v>
      </c>
      <c r="FT146" s="461">
        <v>0.66222428680240786</v>
      </c>
      <c r="FU146" s="461">
        <v>0.8289704351248226</v>
      </c>
      <c r="FV146" s="461">
        <v>1.1634447852395848</v>
      </c>
      <c r="FW146" s="461">
        <v>1.6969233719635577</v>
      </c>
      <c r="FX146" s="461">
        <v>2.5681728515962003</v>
      </c>
      <c r="FY146" s="461">
        <v>5.4849276088545329</v>
      </c>
      <c r="FZ146" s="461"/>
      <c r="GA146" s="461"/>
      <c r="GB146" s="461"/>
      <c r="GC146" s="461"/>
      <c r="GD146" s="469"/>
      <c r="GE146" s="469"/>
      <c r="GF146" s="469"/>
      <c r="GG146" s="469"/>
      <c r="GH146" s="469">
        <v>33.539843844455518</v>
      </c>
      <c r="GI146" s="469">
        <v>1.1968430146053588</v>
      </c>
      <c r="GJ146" s="469">
        <v>-1.8206208873381076</v>
      </c>
      <c r="GK146" s="469">
        <v>5.8308263364388422</v>
      </c>
      <c r="GL146" s="469">
        <v>182.47766796747516</v>
      </c>
      <c r="GM146" s="458"/>
      <c r="GN146" s="464"/>
      <c r="GO146" s="470"/>
      <c r="GP146" s="468"/>
    </row>
    <row r="147" spans="1:198" x14ac:dyDescent="0.25">
      <c r="A147" s="465" t="s">
        <v>1568</v>
      </c>
      <c r="B147" s="461">
        <v>0.13371996382995391</v>
      </c>
      <c r="C147" s="461">
        <v>0.51798077149560384</v>
      </c>
      <c r="D147" s="461">
        <v>2.2325864279643923E-2</v>
      </c>
      <c r="E147" s="461">
        <v>0.38645456063931555</v>
      </c>
      <c r="F147" s="461">
        <v>1.5038882870864996</v>
      </c>
      <c r="G147" s="461">
        <v>0.50540366563687533</v>
      </c>
      <c r="H147" s="461">
        <v>0.18140144944863201</v>
      </c>
      <c r="I147" s="461">
        <v>0.23254695093056885</v>
      </c>
      <c r="J147" s="461">
        <v>2.1127200437632741E-2</v>
      </c>
      <c r="K147" s="461">
        <v>0.23266706372545665</v>
      </c>
      <c r="L147" s="461">
        <v>5.4892386690203902E-2</v>
      </c>
      <c r="M147" s="461">
        <v>0.14523379217914192</v>
      </c>
      <c r="N147" s="461">
        <v>0.38159269626486536</v>
      </c>
      <c r="O147" s="461">
        <v>4.5619017438307784E-2</v>
      </c>
      <c r="P147" s="461">
        <v>1.8844359403708104</v>
      </c>
      <c r="Q147" s="461">
        <v>0.53774620716230637</v>
      </c>
      <c r="R147" s="461">
        <v>2.717917776378943E-2</v>
      </c>
      <c r="S147" s="461">
        <v>1.8815987581167255</v>
      </c>
      <c r="T147" s="461">
        <v>6.1917641392724718</v>
      </c>
      <c r="U147" s="461">
        <v>1.6420201768126157</v>
      </c>
      <c r="V147" s="461">
        <v>5.9964041596247811E-2</v>
      </c>
      <c r="W147" s="461">
        <v>9.9380156957176065E-3</v>
      </c>
      <c r="X147" s="461">
        <v>4.4012974323779146E-2</v>
      </c>
      <c r="Y147" s="461">
        <v>6.0128490731726405E-3</v>
      </c>
      <c r="Z147" s="461">
        <v>0.15852817888853854</v>
      </c>
      <c r="AA147" s="461">
        <v>0.15084390283167268</v>
      </c>
      <c r="AB147" s="461">
        <v>1.6182973534230344E-2</v>
      </c>
      <c r="AC147" s="461">
        <v>1.1818379262396353E-2</v>
      </c>
      <c r="AD147" s="461">
        <v>0.2402150334125065</v>
      </c>
      <c r="AE147" s="461">
        <v>1.2759346482022435E-2</v>
      </c>
      <c r="AF147" s="461">
        <v>1.3369406514370743E-2</v>
      </c>
      <c r="AG147" s="461">
        <v>8.8713733042638352E-5</v>
      </c>
      <c r="AH147" s="461">
        <v>6.4148123904948812E-2</v>
      </c>
      <c r="AI147" s="461">
        <v>0.23308403134521363</v>
      </c>
      <c r="AJ147" s="461">
        <v>1.5175213576629165</v>
      </c>
      <c r="AK147" s="461">
        <v>6.3017769259201412E-2</v>
      </c>
      <c r="AL147" s="461">
        <v>6.4301192397917652E-3</v>
      </c>
      <c r="AM147" s="461">
        <v>1.6175211818543006E-2</v>
      </c>
      <c r="AN147" s="461">
        <v>0.27652013583506591</v>
      </c>
      <c r="AO147" s="461">
        <v>0.14380988455220084</v>
      </c>
      <c r="AP147" s="461">
        <v>0.19242433986971846</v>
      </c>
      <c r="AQ147" s="461">
        <v>9.2313342662010633E-2</v>
      </c>
      <c r="AR147" s="461">
        <v>5.9699350217067623E-3</v>
      </c>
      <c r="AS147" s="461">
        <v>0.12277615806783952</v>
      </c>
      <c r="AT147" s="461">
        <v>1.1049854226105558</v>
      </c>
      <c r="AU147" s="461">
        <v>1.3229989979910479</v>
      </c>
      <c r="AV147" s="461">
        <v>2.5967726300030195E-2</v>
      </c>
      <c r="AW147" s="461">
        <v>0.11318284247492046</v>
      </c>
      <c r="AX147" s="461">
        <v>0.27638146539024688</v>
      </c>
      <c r="AY147" s="461">
        <v>4.7453403856323739E-3</v>
      </c>
      <c r="AZ147" s="461">
        <v>4.1410730585137209E-2</v>
      </c>
      <c r="BA147" s="461">
        <v>0.76920557059626415</v>
      </c>
      <c r="BB147" s="461">
        <v>1.64858211705352</v>
      </c>
      <c r="BC147" s="461">
        <v>2.3948880205662649E-2</v>
      </c>
      <c r="BD147" s="461">
        <v>5.8918641548756567E-3</v>
      </c>
      <c r="BE147" s="461">
        <v>1.9832436655663315</v>
      </c>
      <c r="BF147" s="461">
        <v>6.9088714646861296E-2</v>
      </c>
      <c r="BG147" s="461">
        <v>80.833214299184903</v>
      </c>
      <c r="BH147" s="461">
        <v>2.9223140317942442</v>
      </c>
      <c r="BI147" s="461">
        <v>6.2753152036813684E-2</v>
      </c>
      <c r="BJ147" s="461">
        <v>0.13818742073761336</v>
      </c>
      <c r="BK147" s="480">
        <v>0.61010727847877488</v>
      </c>
      <c r="BL147" s="461">
        <v>0.10351775051977194</v>
      </c>
      <c r="BM147" s="461"/>
      <c r="BN147" s="461">
        <v>22.433864255202959</v>
      </c>
      <c r="BO147" s="461"/>
      <c r="BP147" s="461">
        <v>3.1187599162719226</v>
      </c>
      <c r="BQ147" s="461">
        <v>12.423542251214734</v>
      </c>
      <c r="BR147" s="461">
        <v>0.98560180774152872</v>
      </c>
      <c r="BS147" s="461">
        <v>0.9065545586425936</v>
      </c>
      <c r="BT147" s="461"/>
      <c r="BU147" s="461">
        <v>3.0933456363079892</v>
      </c>
      <c r="BV147" s="461">
        <v>0.50502521101941411</v>
      </c>
      <c r="BW147" s="461">
        <v>0.26255738156951636</v>
      </c>
      <c r="BX147" s="461">
        <v>7.8361565173989227</v>
      </c>
      <c r="BY147" s="461">
        <v>29.871921910062461</v>
      </c>
      <c r="BZ147" s="461">
        <v>20.960123864853493</v>
      </c>
      <c r="CA147" s="461"/>
      <c r="CB147" s="461"/>
      <c r="CC147" s="461"/>
      <c r="CD147" s="461"/>
      <c r="CE147" s="461"/>
      <c r="CF147" s="461"/>
      <c r="CG147" s="461"/>
      <c r="CH147" s="461"/>
      <c r="CI147" s="461"/>
      <c r="CJ147" s="461"/>
      <c r="CK147" s="461"/>
      <c r="CL147" s="461"/>
      <c r="CM147" s="461"/>
      <c r="CN147" s="461"/>
      <c r="CO147" s="461"/>
      <c r="CP147" s="461"/>
      <c r="CQ147" s="461"/>
      <c r="CR147" s="461"/>
      <c r="CS147" s="461"/>
      <c r="CT147" s="461"/>
      <c r="CU147" s="461"/>
      <c r="CV147" s="461"/>
      <c r="CW147" s="461"/>
      <c r="CX147" s="461"/>
      <c r="CY147" s="461"/>
      <c r="CZ147" s="461"/>
      <c r="DA147" s="461"/>
      <c r="DB147" s="461"/>
      <c r="DC147" s="461"/>
      <c r="DD147" s="461"/>
      <c r="DE147" s="461"/>
      <c r="DF147" s="461"/>
      <c r="DG147" s="461"/>
      <c r="DH147" s="461"/>
      <c r="DI147" s="461"/>
      <c r="DJ147" s="461"/>
      <c r="DK147" s="461"/>
      <c r="DL147" s="461"/>
      <c r="DM147" s="461"/>
      <c r="DN147" s="461"/>
      <c r="DO147" s="461"/>
      <c r="DP147" s="461"/>
      <c r="DQ147" s="461"/>
      <c r="DR147" s="461"/>
      <c r="DS147" s="461"/>
      <c r="DT147" s="461"/>
      <c r="DU147" s="461"/>
      <c r="DV147" s="461"/>
      <c r="DW147" s="461"/>
      <c r="DX147" s="461"/>
      <c r="DY147" s="461"/>
      <c r="DZ147" s="461"/>
      <c r="EA147" s="461"/>
      <c r="EB147" s="461"/>
      <c r="EC147" s="461"/>
      <c r="ED147" s="461"/>
      <c r="EE147" s="461"/>
      <c r="EF147" s="461"/>
      <c r="EG147" s="461"/>
      <c r="EH147" s="461"/>
      <c r="EI147" s="461"/>
      <c r="EJ147" s="461"/>
      <c r="EK147" s="461"/>
      <c r="EL147" s="461"/>
      <c r="EM147" s="461"/>
      <c r="EN147" s="461"/>
      <c r="EO147" s="461"/>
      <c r="EP147" s="461"/>
      <c r="EQ147" s="461"/>
      <c r="ER147" s="461"/>
      <c r="ES147" s="461"/>
      <c r="ET147" s="461"/>
      <c r="EU147" s="461"/>
      <c r="EV147" s="461"/>
      <c r="EW147" s="461"/>
      <c r="EX147" s="461"/>
      <c r="EY147" s="461"/>
      <c r="EZ147" s="461"/>
      <c r="FA147" s="461"/>
      <c r="FB147" s="461"/>
      <c r="FC147" s="461"/>
      <c r="FD147" s="461"/>
      <c r="FE147" s="461"/>
      <c r="FF147" s="461"/>
      <c r="FG147" s="461"/>
      <c r="FH147" s="461"/>
      <c r="FI147" s="461"/>
      <c r="FJ147" s="461"/>
      <c r="FK147" s="461"/>
      <c r="FL147" s="461"/>
      <c r="FM147" s="461"/>
      <c r="FN147" s="461"/>
      <c r="FO147" s="461"/>
      <c r="FP147" s="461">
        <v>2.3456783864163666E-2</v>
      </c>
      <c r="FQ147" s="461">
        <v>0.11780896260203717</v>
      </c>
      <c r="FR147" s="461">
        <v>0.44733907945483997</v>
      </c>
      <c r="FS147" s="461">
        <v>0.76489021224631526</v>
      </c>
      <c r="FT147" s="461">
        <v>1.0397140711742896</v>
      </c>
      <c r="FU147" s="461">
        <v>3.5108714752124799</v>
      </c>
      <c r="FV147" s="461">
        <v>7.4370665717822488</v>
      </c>
      <c r="FW147" s="461">
        <v>15.595278024884987</v>
      </c>
      <c r="FX147" s="461">
        <v>43.828276506921775</v>
      </c>
      <c r="FY147" s="461">
        <v>131.83525890400625</v>
      </c>
      <c r="FZ147" s="461"/>
      <c r="GA147" s="461"/>
      <c r="GB147" s="461"/>
      <c r="GC147" s="461"/>
      <c r="GD147" s="469"/>
      <c r="GE147" s="469"/>
      <c r="GF147" s="469"/>
      <c r="GG147" s="469"/>
      <c r="GH147" s="469">
        <v>111.66729551518175</v>
      </c>
      <c r="GI147" s="469">
        <v>3.9847598342146431</v>
      </c>
      <c r="GJ147" s="469">
        <v>-0.72737424864093414</v>
      </c>
      <c r="GK147" s="469">
        <v>70.014621498215106</v>
      </c>
      <c r="GL147" s="469">
        <v>603.98396606628694</v>
      </c>
      <c r="GM147" s="458"/>
      <c r="GN147" s="464"/>
      <c r="GO147" s="470"/>
      <c r="GP147" s="468"/>
    </row>
    <row r="148" spans="1:198" x14ac:dyDescent="0.25">
      <c r="A148" s="465" t="s">
        <v>1567</v>
      </c>
      <c r="B148" s="461">
        <v>4.1726214048375598E-3</v>
      </c>
      <c r="C148" s="461">
        <v>1.6439565053464125E-2</v>
      </c>
      <c r="D148" s="461">
        <v>7.0444116205567095E-4</v>
      </c>
      <c r="E148" s="461">
        <v>1.1839486722506912E-2</v>
      </c>
      <c r="F148" s="461">
        <v>4.6448759297600659E-2</v>
      </c>
      <c r="G148" s="461">
        <v>1.5793841967699215E-2</v>
      </c>
      <c r="H148" s="461">
        <v>5.7244447597168324E-3</v>
      </c>
      <c r="I148" s="461">
        <v>7.2915987272074304E-3</v>
      </c>
      <c r="J148" s="461">
        <v>6.5702429194890004E-4</v>
      </c>
      <c r="K148" s="461">
        <v>7.2946358982385684E-3</v>
      </c>
      <c r="L148" s="461">
        <v>1.7188990614132756E-3</v>
      </c>
      <c r="M148" s="461">
        <v>4.5386314353846983E-3</v>
      </c>
      <c r="N148" s="461">
        <v>1.1341343272751886E-2</v>
      </c>
      <c r="O148" s="461">
        <v>1.2863287030916118E-3</v>
      </c>
      <c r="P148" s="461">
        <v>1.9316829189522492E-2</v>
      </c>
      <c r="Q148" s="461">
        <v>4.2433026642311057E-2</v>
      </c>
      <c r="R148" s="461">
        <v>1.8730725099981669E-3</v>
      </c>
      <c r="S148" s="461">
        <v>0.17112529749369096</v>
      </c>
      <c r="T148" s="461">
        <v>0.17088582933724786</v>
      </c>
      <c r="U148" s="461">
        <v>0.11316099702426113</v>
      </c>
      <c r="V148" s="461"/>
      <c r="W148" s="461"/>
      <c r="X148" s="461"/>
      <c r="Y148" s="461"/>
      <c r="Z148" s="461"/>
      <c r="AA148" s="461"/>
      <c r="AB148" s="461"/>
      <c r="AC148" s="461"/>
      <c r="AD148" s="461"/>
      <c r="AE148" s="461"/>
      <c r="AF148" s="461"/>
      <c r="AG148" s="461"/>
      <c r="AH148" s="461"/>
      <c r="AI148" s="461"/>
      <c r="AJ148" s="461"/>
      <c r="AK148" s="461"/>
      <c r="AL148" s="461"/>
      <c r="AM148" s="461"/>
      <c r="AN148" s="461"/>
      <c r="AO148" s="461"/>
      <c r="AP148" s="461"/>
      <c r="AQ148" s="461"/>
      <c r="AR148" s="461"/>
      <c r="AS148" s="461"/>
      <c r="AT148" s="461"/>
      <c r="AU148" s="461"/>
      <c r="AV148" s="461"/>
      <c r="AW148" s="461"/>
      <c r="AX148" s="461"/>
      <c r="AY148" s="461"/>
      <c r="AZ148" s="461"/>
      <c r="BA148" s="461">
        <v>0.87665823420697175</v>
      </c>
      <c r="BB148" s="461">
        <v>0.29131765019945571</v>
      </c>
      <c r="BC148" s="461">
        <v>1.7673433067096463E-2</v>
      </c>
      <c r="BD148" s="461">
        <v>4.3479889617969968E-3</v>
      </c>
      <c r="BE148" s="461">
        <v>1.46365347284961</v>
      </c>
      <c r="BF148" s="461"/>
      <c r="BG148" s="461">
        <v>0.57983745072951576</v>
      </c>
      <c r="BH148" s="461">
        <v>4.9527517047464666</v>
      </c>
      <c r="BI148" s="461">
        <v>7.0777923375150875E-2</v>
      </c>
      <c r="BJ148" s="461">
        <v>1.2087890318551525E-3</v>
      </c>
      <c r="BK148" s="480"/>
      <c r="BL148" s="461"/>
      <c r="BM148" s="461"/>
      <c r="BN148" s="461">
        <v>7.207140842700098E-3</v>
      </c>
      <c r="BO148" s="461"/>
      <c r="BP148" s="461">
        <v>0.26808178489476953</v>
      </c>
      <c r="BQ148" s="461">
        <v>0.89744918250262673</v>
      </c>
      <c r="BR148" s="461">
        <v>0.16156870543247595</v>
      </c>
      <c r="BS148" s="461">
        <v>0.14881474131708208</v>
      </c>
      <c r="BT148" s="461"/>
      <c r="BU148" s="461">
        <v>0.38818694818929372</v>
      </c>
      <c r="BV148" s="461">
        <v>2.5118738039240071E-2</v>
      </c>
      <c r="BW148" s="461"/>
      <c r="BX148" s="461">
        <v>5.7437933869915921E-2</v>
      </c>
      <c r="BY148" s="461">
        <v>1.4592085056321205</v>
      </c>
      <c r="BZ148" s="461">
        <v>0.1454990641407185</v>
      </c>
      <c r="CA148" s="461"/>
      <c r="CB148" s="461"/>
      <c r="CC148" s="461"/>
      <c r="CD148" s="461"/>
      <c r="CE148" s="461"/>
      <c r="CF148" s="461"/>
      <c r="CG148" s="461"/>
      <c r="CH148" s="461"/>
      <c r="CI148" s="461"/>
      <c r="CJ148" s="461"/>
      <c r="CK148" s="461"/>
      <c r="CL148" s="461"/>
      <c r="CM148" s="461"/>
      <c r="CN148" s="461"/>
      <c r="CO148" s="461"/>
      <c r="CP148" s="461"/>
      <c r="CQ148" s="461"/>
      <c r="CR148" s="461"/>
      <c r="CS148" s="461"/>
      <c r="CT148" s="461"/>
      <c r="CU148" s="461"/>
      <c r="CV148" s="461"/>
      <c r="CW148" s="461"/>
      <c r="CX148" s="461"/>
      <c r="CY148" s="461"/>
      <c r="CZ148" s="461"/>
      <c r="DA148" s="461"/>
      <c r="DB148" s="461"/>
      <c r="DC148" s="461"/>
      <c r="DD148" s="461"/>
      <c r="DE148" s="461"/>
      <c r="DF148" s="461"/>
      <c r="DG148" s="461"/>
      <c r="DH148" s="461"/>
      <c r="DI148" s="461"/>
      <c r="DJ148" s="461"/>
      <c r="DK148" s="461"/>
      <c r="DL148" s="461"/>
      <c r="DM148" s="461"/>
      <c r="DN148" s="461"/>
      <c r="DO148" s="461"/>
      <c r="DP148" s="461"/>
      <c r="DQ148" s="461"/>
      <c r="DR148" s="461"/>
      <c r="DS148" s="461"/>
      <c r="DT148" s="461"/>
      <c r="DU148" s="461"/>
      <c r="DV148" s="461"/>
      <c r="DW148" s="461"/>
      <c r="DX148" s="461"/>
      <c r="DY148" s="461"/>
      <c r="DZ148" s="461"/>
      <c r="EA148" s="461"/>
      <c r="EB148" s="461"/>
      <c r="EC148" s="461"/>
      <c r="ED148" s="461"/>
      <c r="EE148" s="461"/>
      <c r="EF148" s="461"/>
      <c r="EG148" s="461"/>
      <c r="EH148" s="461"/>
      <c r="EI148" s="461"/>
      <c r="EJ148" s="461"/>
      <c r="EK148" s="461"/>
      <c r="EL148" s="461"/>
      <c r="EM148" s="461"/>
      <c r="EN148" s="461"/>
      <c r="EO148" s="461"/>
      <c r="EP148" s="461"/>
      <c r="EQ148" s="461"/>
      <c r="ER148" s="461"/>
      <c r="ES148" s="461"/>
      <c r="ET148" s="461"/>
      <c r="EU148" s="461"/>
      <c r="EV148" s="461"/>
      <c r="EW148" s="461"/>
      <c r="EX148" s="461"/>
      <c r="EY148" s="461"/>
      <c r="EZ148" s="461"/>
      <c r="FA148" s="461"/>
      <c r="FB148" s="461"/>
      <c r="FC148" s="461"/>
      <c r="FD148" s="461"/>
      <c r="FE148" s="461"/>
      <c r="FF148" s="461"/>
      <c r="FG148" s="461"/>
      <c r="FH148" s="461"/>
      <c r="FI148" s="461"/>
      <c r="FJ148" s="461"/>
      <c r="FK148" s="461"/>
      <c r="FL148" s="461"/>
      <c r="FM148" s="461"/>
      <c r="FN148" s="461"/>
      <c r="FO148" s="461"/>
      <c r="FP148" s="461">
        <v>6.8508298164757344E-3</v>
      </c>
      <c r="FQ148" s="461">
        <v>1.2355750688900387E-2</v>
      </c>
      <c r="FR148" s="461">
        <v>1.4722106470702219E-2</v>
      </c>
      <c r="FS148" s="461">
        <v>1.088773673203563E-2</v>
      </c>
      <c r="FT148" s="461">
        <v>1.3556567045953956E-2</v>
      </c>
      <c r="FU148" s="461">
        <v>4.6007035391751085E-2</v>
      </c>
      <c r="FV148" s="461">
        <v>5.2100815637619625E-2</v>
      </c>
      <c r="FW148" s="461">
        <v>7.1627774902558172E-2</v>
      </c>
      <c r="FX148" s="461">
        <v>0.44130617304427111</v>
      </c>
      <c r="FY148" s="461">
        <v>2.2479574973318801</v>
      </c>
      <c r="FZ148" s="461"/>
      <c r="GA148" s="461"/>
      <c r="GB148" s="461"/>
      <c r="GC148" s="461"/>
      <c r="GD148" s="469"/>
      <c r="GE148" s="469"/>
      <c r="GF148" s="469"/>
      <c r="GG148" s="469"/>
      <c r="GH148" s="469">
        <v>11.27681875392422</v>
      </c>
      <c r="GI148" s="469">
        <v>0.40240443024113942</v>
      </c>
      <c r="GJ148" s="469">
        <v>0.23168143608497108</v>
      </c>
      <c r="GK148" s="469">
        <v>21.174152125431963</v>
      </c>
      <c r="GL148" s="469">
        <v>48.473275098728251</v>
      </c>
      <c r="GM148" s="458"/>
      <c r="GN148" s="464"/>
      <c r="GO148" s="470"/>
      <c r="GP148" s="468"/>
    </row>
    <row r="149" spans="1:198" x14ac:dyDescent="0.25">
      <c r="A149" s="465" t="s">
        <v>1566</v>
      </c>
      <c r="B149" s="461"/>
      <c r="C149" s="461"/>
      <c r="D149" s="461"/>
      <c r="E149" s="461"/>
      <c r="F149" s="461"/>
      <c r="G149" s="461"/>
      <c r="H149" s="461"/>
      <c r="I149" s="461"/>
      <c r="J149" s="461"/>
      <c r="K149" s="461"/>
      <c r="L149" s="461"/>
      <c r="M149" s="461"/>
      <c r="N149" s="461"/>
      <c r="O149" s="461"/>
      <c r="P149" s="461">
        <v>6.8007124559111287E-3</v>
      </c>
      <c r="Q149" s="461">
        <v>6.4318177066910644E-3</v>
      </c>
      <c r="R149" s="461">
        <v>2.2370544966214052E-4</v>
      </c>
      <c r="S149" s="461">
        <v>3.6236425067540601E-2</v>
      </c>
      <c r="T149" s="461">
        <v>1.9647567707641714E-2</v>
      </c>
      <c r="U149" s="461">
        <v>1.3515083686511026E-2</v>
      </c>
      <c r="V149" s="461"/>
      <c r="W149" s="461"/>
      <c r="X149" s="461"/>
      <c r="Y149" s="461"/>
      <c r="Z149" s="461"/>
      <c r="AA149" s="461"/>
      <c r="AB149" s="461"/>
      <c r="AC149" s="461"/>
      <c r="AD149" s="461"/>
      <c r="AE149" s="461"/>
      <c r="AF149" s="461"/>
      <c r="AG149" s="461"/>
      <c r="AH149" s="461"/>
      <c r="AI149" s="461"/>
      <c r="AJ149" s="461">
        <v>2.3162909441378554E-2</v>
      </c>
      <c r="AK149" s="461"/>
      <c r="AL149" s="461"/>
      <c r="AM149" s="461"/>
      <c r="AN149" s="461">
        <v>0.57284583105153986</v>
      </c>
      <c r="AO149" s="461">
        <v>4.0824902069335088E-3</v>
      </c>
      <c r="AP149" s="461"/>
      <c r="AQ149" s="461"/>
      <c r="AR149" s="461"/>
      <c r="AS149" s="461"/>
      <c r="AT149" s="461"/>
      <c r="AU149" s="461"/>
      <c r="AV149" s="461"/>
      <c r="AW149" s="461">
        <v>0.17090422872426833</v>
      </c>
      <c r="AX149" s="461"/>
      <c r="AY149" s="461">
        <v>9.330435094503018E-3</v>
      </c>
      <c r="AZ149" s="461"/>
      <c r="BA149" s="461">
        <v>2.3174579626215424E-2</v>
      </c>
      <c r="BB149" s="461">
        <v>8.344307662100172E-3</v>
      </c>
      <c r="BC149" s="461">
        <v>3.0784990495131924E-4</v>
      </c>
      <c r="BD149" s="461">
        <v>7.5736727750455962E-5</v>
      </c>
      <c r="BE149" s="461">
        <v>2.5505006955673256E-2</v>
      </c>
      <c r="BF149" s="461">
        <v>1.1178439016246071E-2</v>
      </c>
      <c r="BG149" s="461"/>
      <c r="BH149" s="461"/>
      <c r="BI149" s="461">
        <v>0.4361336670573604</v>
      </c>
      <c r="BJ149" s="461">
        <v>2.1767201993276267E-2</v>
      </c>
      <c r="BK149" s="480"/>
      <c r="BL149" s="461">
        <v>2.2816671846844421E-2</v>
      </c>
      <c r="BM149" s="461">
        <v>0.4671500668325399</v>
      </c>
      <c r="BN149" s="461">
        <v>2.4806354606332017</v>
      </c>
      <c r="BO149" s="461">
        <v>3.6927741672661059E-2</v>
      </c>
      <c r="BP149" s="461">
        <v>3.3524598370767482E-2</v>
      </c>
      <c r="BQ149" s="461">
        <v>0.11212344401678455</v>
      </c>
      <c r="BR149" s="461">
        <v>2.0296515829795594E-2</v>
      </c>
      <c r="BS149" s="461">
        <v>1.8698337708458527E-2</v>
      </c>
      <c r="BT149" s="461"/>
      <c r="BU149" s="461">
        <v>4.8509120786358217E-2</v>
      </c>
      <c r="BV149" s="461">
        <v>3.1393242462992065E-3</v>
      </c>
      <c r="BW149" s="461">
        <v>0.16696191639670827</v>
      </c>
      <c r="BX149" s="461">
        <v>3.288641878324543</v>
      </c>
      <c r="BY149" s="461">
        <v>0.40021987465653452</v>
      </c>
      <c r="BZ149" s="461">
        <v>1.7694828618413019</v>
      </c>
      <c r="CA149" s="461"/>
      <c r="CB149" s="461"/>
      <c r="CC149" s="461"/>
      <c r="CD149" s="461"/>
      <c r="CE149" s="461"/>
      <c r="CF149" s="461"/>
      <c r="CG149" s="461"/>
      <c r="CH149" s="461"/>
      <c r="CI149" s="461"/>
      <c r="CJ149" s="461"/>
      <c r="CK149" s="461"/>
      <c r="CL149" s="461"/>
      <c r="CM149" s="461"/>
      <c r="CN149" s="461"/>
      <c r="CO149" s="461"/>
      <c r="CP149" s="461"/>
      <c r="CQ149" s="461"/>
      <c r="CR149" s="461"/>
      <c r="CS149" s="461"/>
      <c r="CT149" s="461"/>
      <c r="CU149" s="461"/>
      <c r="CV149" s="461"/>
      <c r="CW149" s="461"/>
      <c r="CX149" s="461"/>
      <c r="CY149" s="461"/>
      <c r="CZ149" s="461"/>
      <c r="DA149" s="461"/>
      <c r="DB149" s="461"/>
      <c r="DC149" s="461"/>
      <c r="DD149" s="461"/>
      <c r="DE149" s="461"/>
      <c r="DF149" s="461"/>
      <c r="DG149" s="461"/>
      <c r="DH149" s="461"/>
      <c r="DI149" s="461"/>
      <c r="DJ149" s="461"/>
      <c r="DK149" s="461"/>
      <c r="DL149" s="461"/>
      <c r="DM149" s="461"/>
      <c r="DN149" s="461"/>
      <c r="DO149" s="461"/>
      <c r="DP149" s="461"/>
      <c r="DQ149" s="461"/>
      <c r="DR149" s="461"/>
      <c r="DS149" s="461"/>
      <c r="DT149" s="461"/>
      <c r="DU149" s="461"/>
      <c r="DV149" s="461"/>
      <c r="DW149" s="461"/>
      <c r="DX149" s="461"/>
      <c r="DY149" s="461"/>
      <c r="DZ149" s="461"/>
      <c r="EA149" s="461"/>
      <c r="EB149" s="461"/>
      <c r="EC149" s="461"/>
      <c r="ED149" s="461"/>
      <c r="EE149" s="461"/>
      <c r="EF149" s="461"/>
      <c r="EG149" s="461"/>
      <c r="EH149" s="461"/>
      <c r="EI149" s="461"/>
      <c r="EJ149" s="461"/>
      <c r="EK149" s="461"/>
      <c r="EL149" s="461"/>
      <c r="EM149" s="461"/>
      <c r="EN149" s="461"/>
      <c r="EO149" s="461"/>
      <c r="EP149" s="461"/>
      <c r="EQ149" s="461"/>
      <c r="ER149" s="461"/>
      <c r="ES149" s="461"/>
      <c r="ET149" s="461"/>
      <c r="EU149" s="461"/>
      <c r="EV149" s="461"/>
      <c r="EW149" s="461"/>
      <c r="EX149" s="461"/>
      <c r="EY149" s="461"/>
      <c r="EZ149" s="461"/>
      <c r="FA149" s="461"/>
      <c r="FB149" s="461"/>
      <c r="FC149" s="461"/>
      <c r="FD149" s="461"/>
      <c r="FE149" s="461"/>
      <c r="FF149" s="461"/>
      <c r="FG149" s="461"/>
      <c r="FH149" s="461"/>
      <c r="FI149" s="461"/>
      <c r="FJ149" s="461"/>
      <c r="FK149" s="461"/>
      <c r="FL149" s="461"/>
      <c r="FM149" s="461"/>
      <c r="FN149" s="461"/>
      <c r="FO149" s="461"/>
      <c r="FP149" s="461">
        <v>0.16660233208901118</v>
      </c>
      <c r="FQ149" s="461">
        <v>0.33839611398853575</v>
      </c>
      <c r="FR149" s="461">
        <v>0.51905200908628224</v>
      </c>
      <c r="FS149" s="461">
        <v>0.51260753212455412</v>
      </c>
      <c r="FT149" s="461">
        <v>0.65223098645722588</v>
      </c>
      <c r="FU149" s="461">
        <v>0.59033453665430502</v>
      </c>
      <c r="FV149" s="461">
        <v>0.88759440259812217</v>
      </c>
      <c r="FW149" s="461">
        <v>1.1920293680240166</v>
      </c>
      <c r="FX149" s="461">
        <v>1.4778557069530833</v>
      </c>
      <c r="FY149" s="461">
        <v>2.33563145508433</v>
      </c>
      <c r="FZ149" s="461"/>
      <c r="GA149" s="461"/>
      <c r="GB149" s="461"/>
      <c r="GC149" s="461"/>
      <c r="GD149" s="469"/>
      <c r="GE149" s="469"/>
      <c r="GF149" s="469"/>
      <c r="GG149" s="469"/>
      <c r="GH149" s="469">
        <v>27.648758369822296</v>
      </c>
      <c r="GI149" s="469">
        <v>0.98662425117115105</v>
      </c>
      <c r="GJ149" s="469">
        <v>-3.7923285744775685</v>
      </c>
      <c r="GK149" s="469">
        <v>6.3550980466336586</v>
      </c>
      <c r="GL149" s="469">
        <v>50.129282344907956</v>
      </c>
      <c r="GM149" s="458"/>
      <c r="GN149" s="464"/>
      <c r="GO149" s="470"/>
      <c r="GP149" s="468"/>
    </row>
    <row r="150" spans="1:198" x14ac:dyDescent="0.25">
      <c r="A150" s="465" t="s">
        <v>1565</v>
      </c>
      <c r="B150" s="461"/>
      <c r="C150" s="461"/>
      <c r="D150" s="461"/>
      <c r="E150" s="461"/>
      <c r="F150" s="461"/>
      <c r="G150" s="461"/>
      <c r="H150" s="461"/>
      <c r="I150" s="461"/>
      <c r="J150" s="461"/>
      <c r="K150" s="461"/>
      <c r="L150" s="461"/>
      <c r="M150" s="461"/>
      <c r="N150" s="461"/>
      <c r="O150" s="461"/>
      <c r="P150" s="461">
        <v>8.9944784565682053E-3</v>
      </c>
      <c r="Q150" s="461">
        <v>2.6848247767519017E-3</v>
      </c>
      <c r="R150" s="461">
        <v>1.3027424553120739E-4</v>
      </c>
      <c r="S150" s="461">
        <v>1.1131817000925769E-2</v>
      </c>
      <c r="T150" s="461">
        <v>1.0603054957663529E-2</v>
      </c>
      <c r="U150" s="461">
        <v>7.8704713417150369E-3</v>
      </c>
      <c r="V150" s="461">
        <v>5.2370430506427921</v>
      </c>
      <c r="W150" s="461">
        <v>2.1824028467318399</v>
      </c>
      <c r="X150" s="461">
        <v>2.4295338949417684</v>
      </c>
      <c r="Y150" s="461"/>
      <c r="Z150" s="461">
        <v>2.7662472740217765E-3</v>
      </c>
      <c r="AA150" s="461"/>
      <c r="AB150" s="461"/>
      <c r="AC150" s="461">
        <v>1.0479819406870491E-4</v>
      </c>
      <c r="AD150" s="461">
        <v>4.3297307170137049</v>
      </c>
      <c r="AE150" s="461"/>
      <c r="AF150" s="461">
        <v>2.833770217615175E-5</v>
      </c>
      <c r="AG150" s="461"/>
      <c r="AH150" s="461">
        <v>7.7119912032544153E-4</v>
      </c>
      <c r="AI150" s="461">
        <v>2.207733186793391E-3</v>
      </c>
      <c r="AJ150" s="461">
        <v>0.5658706161379139</v>
      </c>
      <c r="AK150" s="461">
        <v>7.1609863949026389</v>
      </c>
      <c r="AL150" s="461">
        <v>1.740852789693796</v>
      </c>
      <c r="AM150" s="461">
        <v>8.7679203972655206E-4</v>
      </c>
      <c r="AN150" s="461">
        <v>1.8319126970930422</v>
      </c>
      <c r="AO150" s="461">
        <v>1.2479402251676023E-2</v>
      </c>
      <c r="AP150" s="461">
        <v>0.18398877248008613</v>
      </c>
      <c r="AQ150" s="461">
        <v>4.1129331317052209E-4</v>
      </c>
      <c r="AR150" s="461">
        <v>2.0222153177947057E-4</v>
      </c>
      <c r="AS150" s="461">
        <v>4.1588363458232025E-3</v>
      </c>
      <c r="AT150" s="461">
        <v>3.7429527112408829E-2</v>
      </c>
      <c r="AU150" s="461">
        <v>2.2654465977520792E-2</v>
      </c>
      <c r="AV150" s="461">
        <v>5.6984398491584419E-4</v>
      </c>
      <c r="AW150" s="461">
        <v>8.5120855195022424E-2</v>
      </c>
      <c r="AX150" s="461">
        <v>1.6875447249273576E-2</v>
      </c>
      <c r="AY150" s="461">
        <v>10.664684378985465</v>
      </c>
      <c r="AZ150" s="461">
        <v>0.9313448596818007</v>
      </c>
      <c r="BA150" s="461">
        <v>1.5835855832891468</v>
      </c>
      <c r="BB150" s="461">
        <v>0.3008202483997805</v>
      </c>
      <c r="BC150" s="461">
        <v>1.7376609534697307E-3</v>
      </c>
      <c r="BD150" s="461">
        <v>4.2749649241030489E-4</v>
      </c>
      <c r="BE150" s="461">
        <v>0.14395917191179652</v>
      </c>
      <c r="BF150" s="461">
        <v>1.8699231182106018E-2</v>
      </c>
      <c r="BG150" s="461">
        <v>7.2914673855821307E-3</v>
      </c>
      <c r="BH150" s="461">
        <v>4.9646619132862092E-2</v>
      </c>
      <c r="BI150" s="461">
        <v>5.7696720821611792E-2</v>
      </c>
      <c r="BJ150" s="461">
        <v>15.325722143388951</v>
      </c>
      <c r="BK150" s="480">
        <v>1.5256978753321026E-2</v>
      </c>
      <c r="BL150" s="461">
        <v>1.5403957011359607E-3</v>
      </c>
      <c r="BM150" s="461">
        <v>1.6567081500709686E-2</v>
      </c>
      <c r="BN150" s="461">
        <v>0.65564237108218515</v>
      </c>
      <c r="BO150" s="461">
        <v>1.4650647815342798E-2</v>
      </c>
      <c r="BP150" s="461">
        <v>9.1035369466238289E-2</v>
      </c>
      <c r="BQ150" s="461">
        <v>0.3045406168290356</v>
      </c>
      <c r="BR150" s="461">
        <v>5.2231086311224147E-2</v>
      </c>
      <c r="BS150" s="461">
        <v>4.8116023947679575E-2</v>
      </c>
      <c r="BT150" s="461"/>
      <c r="BU150" s="461">
        <v>0.13029987487279951</v>
      </c>
      <c r="BV150" s="461">
        <v>1.5260300847458042E-2</v>
      </c>
      <c r="BW150" s="461">
        <v>0.39640920467987578</v>
      </c>
      <c r="BX150" s="461">
        <v>3.5867876687840279</v>
      </c>
      <c r="BY150" s="461">
        <v>5.2524829007219722</v>
      </c>
      <c r="BZ150" s="461">
        <v>1.7102334555888066</v>
      </c>
      <c r="CA150" s="461"/>
      <c r="CB150" s="461"/>
      <c r="CC150" s="461"/>
      <c r="CD150" s="461"/>
      <c r="CE150" s="461"/>
      <c r="CF150" s="461"/>
      <c r="CG150" s="461"/>
      <c r="CH150" s="461"/>
      <c r="CI150" s="461"/>
      <c r="CJ150" s="461"/>
      <c r="CK150" s="461"/>
      <c r="CL150" s="461"/>
      <c r="CM150" s="461"/>
      <c r="CN150" s="461"/>
      <c r="CO150" s="461"/>
      <c r="CP150" s="461"/>
      <c r="CQ150" s="461"/>
      <c r="CR150" s="461"/>
      <c r="CS150" s="461"/>
      <c r="CT150" s="461"/>
      <c r="CU150" s="461"/>
      <c r="CV150" s="461"/>
      <c r="CW150" s="461"/>
      <c r="CX150" s="461"/>
      <c r="CY150" s="461"/>
      <c r="CZ150" s="461"/>
      <c r="DA150" s="461"/>
      <c r="DB150" s="461"/>
      <c r="DC150" s="461"/>
      <c r="DD150" s="461"/>
      <c r="DE150" s="461"/>
      <c r="DF150" s="461"/>
      <c r="DG150" s="461"/>
      <c r="DH150" s="461"/>
      <c r="DI150" s="461"/>
      <c r="DJ150" s="461"/>
      <c r="DK150" s="461"/>
      <c r="DL150" s="461"/>
      <c r="DM150" s="461"/>
      <c r="DN150" s="461"/>
      <c r="DO150" s="461"/>
      <c r="DP150" s="461"/>
      <c r="DQ150" s="461"/>
      <c r="DR150" s="461"/>
      <c r="DS150" s="461"/>
      <c r="DT150" s="461"/>
      <c r="DU150" s="461"/>
      <c r="DV150" s="461"/>
      <c r="DW150" s="461"/>
      <c r="DX150" s="461"/>
      <c r="DY150" s="461"/>
      <c r="DZ150" s="461"/>
      <c r="EA150" s="461"/>
      <c r="EB150" s="461"/>
      <c r="EC150" s="461"/>
      <c r="ED150" s="461"/>
      <c r="EE150" s="461"/>
      <c r="EF150" s="461"/>
      <c r="EG150" s="461"/>
      <c r="EH150" s="461"/>
      <c r="EI150" s="461"/>
      <c r="EJ150" s="461"/>
      <c r="EK150" s="461"/>
      <c r="EL150" s="461"/>
      <c r="EM150" s="461"/>
      <c r="EN150" s="461"/>
      <c r="EO150" s="461"/>
      <c r="EP150" s="461"/>
      <c r="EQ150" s="461"/>
      <c r="ER150" s="461"/>
      <c r="ES150" s="461"/>
      <c r="ET150" s="461"/>
      <c r="EU150" s="461"/>
      <c r="EV150" s="461"/>
      <c r="EW150" s="461"/>
      <c r="EX150" s="461"/>
      <c r="EY150" s="461"/>
      <c r="EZ150" s="461"/>
      <c r="FA150" s="461"/>
      <c r="FB150" s="461"/>
      <c r="FC150" s="461"/>
      <c r="FD150" s="461"/>
      <c r="FE150" s="461"/>
      <c r="FF150" s="461"/>
      <c r="FG150" s="461"/>
      <c r="FH150" s="461"/>
      <c r="FI150" s="461"/>
      <c r="FJ150" s="461"/>
      <c r="FK150" s="461"/>
      <c r="FL150" s="461"/>
      <c r="FM150" s="461"/>
      <c r="FN150" s="461"/>
      <c r="FO150" s="461"/>
      <c r="FP150" s="461">
        <v>0.64410236060944348</v>
      </c>
      <c r="FQ150" s="461">
        <v>1.2960082930460561</v>
      </c>
      <c r="FR150" s="461">
        <v>1.0746427738674502</v>
      </c>
      <c r="FS150" s="461">
        <v>1.1714672672287929</v>
      </c>
      <c r="FT150" s="461">
        <v>1.5552836919616111</v>
      </c>
      <c r="FU150" s="461">
        <v>1.4056862981887424</v>
      </c>
      <c r="FV150" s="461">
        <v>1.4085415197077578</v>
      </c>
      <c r="FW150" s="461">
        <v>2.1699416806027516</v>
      </c>
      <c r="FX150" s="461">
        <v>3.4328290657157323</v>
      </c>
      <c r="FY150" s="461">
        <v>6.6158336578419901</v>
      </c>
      <c r="FZ150" s="461"/>
      <c r="GA150" s="461"/>
      <c r="GB150" s="461"/>
      <c r="GC150" s="461"/>
      <c r="GD150" s="469"/>
      <c r="GE150" s="469"/>
      <c r="GF150" s="469"/>
      <c r="GG150" s="469"/>
      <c r="GH150" s="469">
        <v>1.6912906478750704</v>
      </c>
      <c r="GI150" s="469">
        <v>6.0352379902665301E-2</v>
      </c>
      <c r="GJ150" s="469">
        <v>-1.5062430815644656</v>
      </c>
      <c r="GK150" s="469">
        <v>24.893409853102863</v>
      </c>
      <c r="GL150" s="469">
        <v>113.18020966750869</v>
      </c>
      <c r="GM150" s="458"/>
      <c r="GN150" s="464"/>
      <c r="GO150" s="470"/>
      <c r="GP150" s="468"/>
    </row>
    <row r="151" spans="1:198" x14ac:dyDescent="0.25">
      <c r="A151" s="465" t="s">
        <v>1564</v>
      </c>
      <c r="B151" s="461">
        <v>8.9135963963457659E-2</v>
      </c>
      <c r="C151" s="461">
        <v>0.43599187940529593</v>
      </c>
      <c r="D151" s="461">
        <v>2.3735063846288214E-2</v>
      </c>
      <c r="E151" s="461">
        <v>0.67062029278304103</v>
      </c>
      <c r="F151" s="461">
        <v>1.0386775914564643</v>
      </c>
      <c r="G151" s="461">
        <v>0.94675052062255227</v>
      </c>
      <c r="H151" s="461">
        <v>0.16292837000055521</v>
      </c>
      <c r="I151" s="461">
        <v>0.45568867829130477</v>
      </c>
      <c r="J151" s="461">
        <v>1.7655918328108915E-2</v>
      </c>
      <c r="K151" s="461">
        <v>0.12893033085550892</v>
      </c>
      <c r="L151" s="461">
        <v>0.12724916145472756</v>
      </c>
      <c r="M151" s="461">
        <v>2.1567228641810425</v>
      </c>
      <c r="N151" s="461">
        <v>1.0778794551146011</v>
      </c>
      <c r="O151" s="461">
        <v>0.12633423702859548</v>
      </c>
      <c r="P151" s="461">
        <v>3.1156190728424287</v>
      </c>
      <c r="Q151" s="461">
        <v>15.834384097486419</v>
      </c>
      <c r="R151" s="461">
        <v>5.2906340992078985E-2</v>
      </c>
      <c r="S151" s="461">
        <v>13.892331373274342</v>
      </c>
      <c r="T151" s="461">
        <v>6.5628164230032411</v>
      </c>
      <c r="U151" s="461">
        <v>3.196317421569042</v>
      </c>
      <c r="V151" s="461">
        <v>0.21168875124364703</v>
      </c>
      <c r="W151" s="461">
        <v>0.10387726290971584</v>
      </c>
      <c r="X151" s="461">
        <v>0.3485993717313689</v>
      </c>
      <c r="Y151" s="461">
        <v>4.4847786198085021E-2</v>
      </c>
      <c r="Z151" s="461">
        <v>0.45275725225191377</v>
      </c>
      <c r="AA151" s="461">
        <v>0.74395038326552543</v>
      </c>
      <c r="AB151" s="461">
        <v>1.0876432657884638</v>
      </c>
      <c r="AC151" s="461">
        <v>4.8572635780392198E-2</v>
      </c>
      <c r="AD151" s="461">
        <v>1.4436099787214822</v>
      </c>
      <c r="AE151" s="461">
        <v>7.7158706401945609E-2</v>
      </c>
      <c r="AF151" s="461">
        <v>4.8159925990304234E-2</v>
      </c>
      <c r="AG151" s="461">
        <v>1.089626229404236E-2</v>
      </c>
      <c r="AH151" s="461">
        <v>0.21871879741640171</v>
      </c>
      <c r="AI151" s="461">
        <v>0.52239271251653641</v>
      </c>
      <c r="AJ151" s="461">
        <v>0.80784692023555338</v>
      </c>
      <c r="AK151" s="461">
        <v>0.31691742157588526</v>
      </c>
      <c r="AL151" s="461">
        <v>3.6198765766661721E-2</v>
      </c>
      <c r="AM151" s="461">
        <v>6.0395115542057738E-2</v>
      </c>
      <c r="AN151" s="461">
        <v>0.71672247767952812</v>
      </c>
      <c r="AO151" s="461">
        <v>0.60376716935541075</v>
      </c>
      <c r="AP151" s="461">
        <v>0.3569737785521514</v>
      </c>
      <c r="AQ151" s="461">
        <v>14.916600654663089</v>
      </c>
      <c r="AR151" s="461">
        <v>4.3737315713299675E-2</v>
      </c>
      <c r="AS151" s="461">
        <v>0.89949045809611949</v>
      </c>
      <c r="AT151" s="461">
        <v>8.0954141228650762</v>
      </c>
      <c r="AU151" s="461">
        <v>4.8258842249125804</v>
      </c>
      <c r="AV151" s="461">
        <v>0.24434460536285277</v>
      </c>
      <c r="AW151" s="461">
        <v>0.38154133757992653</v>
      </c>
      <c r="AX151" s="461">
        <v>1.3851129179330011</v>
      </c>
      <c r="AY151" s="461">
        <v>23.26279387810553</v>
      </c>
      <c r="AZ151" s="461">
        <v>15.236242097263013</v>
      </c>
      <c r="BA151" s="461">
        <v>1.2771481385420171</v>
      </c>
      <c r="BB151" s="461">
        <v>0.82533694784493139</v>
      </c>
      <c r="BC151" s="461">
        <v>5.1959050204130434E-3</v>
      </c>
      <c r="BD151" s="461">
        <v>1.2782880150977408E-3</v>
      </c>
      <c r="BE151" s="461">
        <v>0.41933717775844925</v>
      </c>
      <c r="BF151" s="461">
        <v>0.16844795515514355</v>
      </c>
      <c r="BG151" s="461">
        <v>1.4665662692740919</v>
      </c>
      <c r="BH151" s="461">
        <v>0.22008757695174291</v>
      </c>
      <c r="BI151" s="461">
        <v>0.22592541186439277</v>
      </c>
      <c r="BJ151" s="461">
        <v>0.40306250468555155</v>
      </c>
      <c r="BK151" s="480"/>
      <c r="BL151" s="461">
        <v>0.58260381795551019</v>
      </c>
      <c r="BM151" s="461">
        <v>0.82565827391215851</v>
      </c>
      <c r="BN151" s="461">
        <v>7.3021430203561515</v>
      </c>
      <c r="BO151" s="461">
        <v>1.4420861271175276</v>
      </c>
      <c r="BP151" s="461">
        <v>0.49722002182210295</v>
      </c>
      <c r="BQ151" s="461">
        <v>3.3029615735325417</v>
      </c>
      <c r="BR151" s="461">
        <v>0.14788589640780075</v>
      </c>
      <c r="BS151" s="461">
        <v>0.13623983034768666</v>
      </c>
      <c r="BT151" s="461">
        <v>1E-10</v>
      </c>
      <c r="BU151" s="461">
        <v>0.61995569848004684</v>
      </c>
      <c r="BV151" s="461">
        <v>0.66599515909092932</v>
      </c>
      <c r="BW151" s="461">
        <v>1.3351188577387785</v>
      </c>
      <c r="BX151" s="461">
        <v>24.635421301376446</v>
      </c>
      <c r="BY151" s="461">
        <v>3.0691632095564194</v>
      </c>
      <c r="BZ151" s="461">
        <v>6.2693333951838541</v>
      </c>
      <c r="CA151" s="461"/>
      <c r="CB151" s="461"/>
      <c r="CC151" s="461"/>
      <c r="CD151" s="461"/>
      <c r="CE151" s="461"/>
      <c r="CF151" s="461"/>
      <c r="CG151" s="461"/>
      <c r="CH151" s="461"/>
      <c r="CI151" s="461"/>
      <c r="CJ151" s="461"/>
      <c r="CK151" s="461"/>
      <c r="CL151" s="461"/>
      <c r="CM151" s="461"/>
      <c r="CN151" s="461"/>
      <c r="CO151" s="461"/>
      <c r="CP151" s="461"/>
      <c r="CQ151" s="461"/>
      <c r="CR151" s="461"/>
      <c r="CS151" s="461"/>
      <c r="CT151" s="461"/>
      <c r="CU151" s="461"/>
      <c r="CV151" s="461"/>
      <c r="CW151" s="461"/>
      <c r="CX151" s="461"/>
      <c r="CY151" s="461"/>
      <c r="CZ151" s="461"/>
      <c r="DA151" s="461"/>
      <c r="DB151" s="461"/>
      <c r="DC151" s="461"/>
      <c r="DD151" s="461"/>
      <c r="DE151" s="461"/>
      <c r="DF151" s="461"/>
      <c r="DG151" s="461"/>
      <c r="DH151" s="461"/>
      <c r="DI151" s="461"/>
      <c r="DJ151" s="461"/>
      <c r="DK151" s="461"/>
      <c r="DL151" s="461"/>
      <c r="DM151" s="461"/>
      <c r="DN151" s="461"/>
      <c r="DO151" s="461"/>
      <c r="DP151" s="461"/>
      <c r="DQ151" s="461"/>
      <c r="DR151" s="461"/>
      <c r="DS151" s="461"/>
      <c r="DT151" s="461"/>
      <c r="DU151" s="461"/>
      <c r="DV151" s="461"/>
      <c r="DW151" s="461"/>
      <c r="DX151" s="461"/>
      <c r="DY151" s="461"/>
      <c r="DZ151" s="461"/>
      <c r="EA151" s="461"/>
      <c r="EB151" s="461"/>
      <c r="EC151" s="461"/>
      <c r="ED151" s="461"/>
      <c r="EE151" s="461"/>
      <c r="EF151" s="461"/>
      <c r="EG151" s="461"/>
      <c r="EH151" s="461"/>
      <c r="EI151" s="461"/>
      <c r="EJ151" s="461"/>
      <c r="EK151" s="461"/>
      <c r="EL151" s="461"/>
      <c r="EM151" s="461"/>
      <c r="EN151" s="461"/>
      <c r="EO151" s="461"/>
      <c r="EP151" s="461"/>
      <c r="EQ151" s="461"/>
      <c r="ER151" s="461"/>
      <c r="ES151" s="461"/>
      <c r="ET151" s="461"/>
      <c r="EU151" s="461"/>
      <c r="EV151" s="461"/>
      <c r="EW151" s="461"/>
      <c r="EX151" s="461"/>
      <c r="EY151" s="461"/>
      <c r="EZ151" s="461"/>
      <c r="FA151" s="461"/>
      <c r="FB151" s="461"/>
      <c r="FC151" s="461"/>
      <c r="FD151" s="461"/>
      <c r="FE151" s="461"/>
      <c r="FF151" s="461"/>
      <c r="FG151" s="461"/>
      <c r="FH151" s="461"/>
      <c r="FI151" s="461"/>
      <c r="FJ151" s="461"/>
      <c r="FK151" s="461"/>
      <c r="FL151" s="461"/>
      <c r="FM151" s="461"/>
      <c r="FN151" s="461"/>
      <c r="FO151" s="461"/>
      <c r="FP151" s="461">
        <v>1.8102505196644523</v>
      </c>
      <c r="FQ151" s="461">
        <v>2.2462326346377872</v>
      </c>
      <c r="FR151" s="461">
        <v>2.6281890509221992</v>
      </c>
      <c r="FS151" s="461">
        <v>3.1350064192520333</v>
      </c>
      <c r="FT151" s="461">
        <v>3.7473248280980527</v>
      </c>
      <c r="FU151" s="461">
        <v>4.3211335502011634</v>
      </c>
      <c r="FV151" s="461">
        <v>5.0157814544402743</v>
      </c>
      <c r="FW151" s="461">
        <v>7.4265028739323213</v>
      </c>
      <c r="FX151" s="461">
        <v>12.264829432412407</v>
      </c>
      <c r="FY151" s="461">
        <v>18.314201909646922</v>
      </c>
      <c r="FZ151" s="461"/>
      <c r="GA151" s="461"/>
      <c r="GB151" s="461"/>
      <c r="GC151" s="461"/>
      <c r="GD151" s="469"/>
      <c r="GE151" s="469"/>
      <c r="GF151" s="469"/>
      <c r="GG151" s="469"/>
      <c r="GH151" s="469"/>
      <c r="GI151" s="469"/>
      <c r="GJ151" s="469"/>
      <c r="GK151" s="469">
        <v>6.112903103360523</v>
      </c>
      <c r="GL151" s="469">
        <v>250.53205954486856</v>
      </c>
      <c r="GM151" s="458"/>
      <c r="GN151" s="464"/>
      <c r="GO151" s="470"/>
      <c r="GP151" s="468"/>
    </row>
    <row r="152" spans="1:198" x14ac:dyDescent="0.25">
      <c r="A152" s="465" t="s">
        <v>1563</v>
      </c>
      <c r="B152" s="461">
        <v>2.4796247109992849E-2</v>
      </c>
      <c r="C152" s="461">
        <v>0.12159653204846385</v>
      </c>
      <c r="D152" s="461">
        <v>6.6104031367983313E-3</v>
      </c>
      <c r="E152" s="461">
        <v>5.1046666494495276E-2</v>
      </c>
      <c r="F152" s="461">
        <v>0.26429031333410163</v>
      </c>
      <c r="G152" s="461">
        <v>5.6016995687154437E-2</v>
      </c>
      <c r="H152" s="461">
        <v>4.5386521643021226E-2</v>
      </c>
      <c r="I152" s="461">
        <v>3.5194647216400199E-2</v>
      </c>
      <c r="J152" s="461">
        <v>4.9084332102869088E-3</v>
      </c>
      <c r="K152" s="461">
        <v>3.5884743581669307E-2</v>
      </c>
      <c r="L152" s="461">
        <v>3.2808748835953618E-2</v>
      </c>
      <c r="M152" s="461"/>
      <c r="N152" s="461">
        <v>8.6979005138838897E-2</v>
      </c>
      <c r="O152" s="461">
        <v>1.169470993316137E-2</v>
      </c>
      <c r="P152" s="461">
        <v>0.77110314661123591</v>
      </c>
      <c r="Q152" s="461">
        <v>0.33418564476297619</v>
      </c>
      <c r="R152" s="461">
        <v>1.5290788358648827E-2</v>
      </c>
      <c r="S152" s="461">
        <v>4.5715873865209211</v>
      </c>
      <c r="T152" s="461">
        <v>3.2885945693517566</v>
      </c>
      <c r="U152" s="461">
        <v>0.9237874384016026</v>
      </c>
      <c r="V152" s="461">
        <v>1.9037281997993646E-2</v>
      </c>
      <c r="W152" s="461">
        <v>9.1921256140342598E-3</v>
      </c>
      <c r="X152" s="461">
        <v>0.27664893345029562</v>
      </c>
      <c r="Y152" s="461">
        <v>4.1228641672961513E-3</v>
      </c>
      <c r="Z152" s="461">
        <v>3.8513512139116336E-2</v>
      </c>
      <c r="AA152" s="461">
        <v>4.9964463559443083E-2</v>
      </c>
      <c r="AB152" s="461">
        <v>9.3818277886708948E-2</v>
      </c>
      <c r="AC152" s="461">
        <v>4.5582851195955423E-3</v>
      </c>
      <c r="AD152" s="461">
        <v>0.1158043604075753</v>
      </c>
      <c r="AE152" s="461">
        <v>5.5836611526504706E-3</v>
      </c>
      <c r="AF152" s="461">
        <v>4.6741405849735915E-3</v>
      </c>
      <c r="AG152" s="461"/>
      <c r="AH152" s="461">
        <v>1.341451357658756E-2</v>
      </c>
      <c r="AI152" s="461">
        <v>1.9756007162654852</v>
      </c>
      <c r="AJ152" s="461">
        <v>5.1676319604478368E-2</v>
      </c>
      <c r="AK152" s="461">
        <v>2.7743533876168996E-2</v>
      </c>
      <c r="AL152" s="461">
        <v>3.1424014725381227E-3</v>
      </c>
      <c r="AM152" s="461">
        <v>5.88382429932855E-3</v>
      </c>
      <c r="AN152" s="461">
        <v>5.2774531541531361E-2</v>
      </c>
      <c r="AO152" s="461">
        <v>0.11885932853008839</v>
      </c>
      <c r="AP152" s="461">
        <v>3.1026823868490171E-2</v>
      </c>
      <c r="AQ152" s="461">
        <v>9.8786551403338987E-2</v>
      </c>
      <c r="AR152" s="461">
        <v>7.8890162520038696E-4</v>
      </c>
      <c r="AS152" s="461">
        <v>1.6224349223802285E-2</v>
      </c>
      <c r="AT152" s="461">
        <v>0.14601914301422061</v>
      </c>
      <c r="AU152" s="461">
        <v>9.4868092617092448E-2</v>
      </c>
      <c r="AV152" s="461">
        <v>2.5063893756572683E-2</v>
      </c>
      <c r="AW152" s="461">
        <v>3.9158349683700307E-2</v>
      </c>
      <c r="AX152" s="461">
        <v>8.0935394426504714E-2</v>
      </c>
      <c r="AY152" s="461">
        <v>0.65840155672119183</v>
      </c>
      <c r="AZ152" s="461">
        <v>0.30430794572182374</v>
      </c>
      <c r="BA152" s="461">
        <v>6.225383199240736E-2</v>
      </c>
      <c r="BB152" s="461">
        <v>4.2760270862682193E-2</v>
      </c>
      <c r="BC152" s="461">
        <v>4.453661432491622E-4</v>
      </c>
      <c r="BD152" s="461">
        <v>1.0956824672681394E-4</v>
      </c>
      <c r="BE152" s="461">
        <v>3.6898009515264202E-2</v>
      </c>
      <c r="BF152" s="461">
        <v>1.5180151535276106E-2</v>
      </c>
      <c r="BG152" s="461">
        <v>8.1433488184353364E-2</v>
      </c>
      <c r="BH152" s="461">
        <v>8.2195302337902641E-3</v>
      </c>
      <c r="BI152" s="461">
        <v>1.7089511642416309E-2</v>
      </c>
      <c r="BJ152" s="461">
        <v>3.9099406293111066E-2</v>
      </c>
      <c r="BK152" s="480">
        <v>5.2946396107067653E-2</v>
      </c>
      <c r="BL152" s="461">
        <v>30.957099083136253</v>
      </c>
      <c r="BM152" s="461">
        <v>0.18105912423418499</v>
      </c>
      <c r="BN152" s="461">
        <v>5.1258342935352674</v>
      </c>
      <c r="BO152" s="461">
        <v>0.17886714983308225</v>
      </c>
      <c r="BP152" s="461">
        <v>0.19971825509942673</v>
      </c>
      <c r="BQ152" s="461">
        <v>0.66843369651645246</v>
      </c>
      <c r="BR152" s="461">
        <v>5.7126058699874006E-3</v>
      </c>
      <c r="BS152" s="461">
        <v>5.2629018989775326E-3</v>
      </c>
      <c r="BT152" s="461"/>
      <c r="BU152" s="461">
        <v>9.9311658922383791E-2</v>
      </c>
      <c r="BV152" s="461">
        <v>6.9568990085748669E-2</v>
      </c>
      <c r="BW152" s="461">
        <v>0.16241586366841232</v>
      </c>
      <c r="BX152" s="461">
        <v>4.160548688350123</v>
      </c>
      <c r="BY152" s="461">
        <v>1.0064306512780761</v>
      </c>
      <c r="BZ152" s="461">
        <v>0.96449211153237846</v>
      </c>
      <c r="CA152" s="461"/>
      <c r="CB152" s="461"/>
      <c r="CC152" s="461"/>
      <c r="CD152" s="461"/>
      <c r="CE152" s="461"/>
      <c r="CF152" s="461"/>
      <c r="CG152" s="461"/>
      <c r="CH152" s="461"/>
      <c r="CI152" s="461"/>
      <c r="CJ152" s="461"/>
      <c r="CK152" s="461"/>
      <c r="CL152" s="461"/>
      <c r="CM152" s="461"/>
      <c r="CN152" s="461"/>
      <c r="CO152" s="461"/>
      <c r="CP152" s="461"/>
      <c r="CQ152" s="461"/>
      <c r="CR152" s="461"/>
      <c r="CS152" s="461"/>
      <c r="CT152" s="461"/>
      <c r="CU152" s="461"/>
      <c r="CV152" s="461"/>
      <c r="CW152" s="461"/>
      <c r="CX152" s="461"/>
      <c r="CY152" s="461"/>
      <c r="CZ152" s="461"/>
      <c r="DA152" s="461"/>
      <c r="DB152" s="461"/>
      <c r="DC152" s="461"/>
      <c r="DD152" s="461"/>
      <c r="DE152" s="461"/>
      <c r="DF152" s="461"/>
      <c r="DG152" s="461"/>
      <c r="DH152" s="461"/>
      <c r="DI152" s="461"/>
      <c r="DJ152" s="461"/>
      <c r="DK152" s="461"/>
      <c r="DL152" s="461"/>
      <c r="DM152" s="461"/>
      <c r="DN152" s="461"/>
      <c r="DO152" s="461"/>
      <c r="DP152" s="461"/>
      <c r="DQ152" s="461"/>
      <c r="DR152" s="461"/>
      <c r="DS152" s="461"/>
      <c r="DT152" s="461"/>
      <c r="DU152" s="461"/>
      <c r="DV152" s="461"/>
      <c r="DW152" s="461"/>
      <c r="DX152" s="461"/>
      <c r="DY152" s="461"/>
      <c r="DZ152" s="461"/>
      <c r="EA152" s="461"/>
      <c r="EB152" s="461"/>
      <c r="EC152" s="461"/>
      <c r="ED152" s="461"/>
      <c r="EE152" s="461"/>
      <c r="EF152" s="461"/>
      <c r="EG152" s="461"/>
      <c r="EH152" s="461"/>
      <c r="EI152" s="461"/>
      <c r="EJ152" s="461"/>
      <c r="EK152" s="461"/>
      <c r="EL152" s="461"/>
      <c r="EM152" s="461"/>
      <c r="EN152" s="461"/>
      <c r="EO152" s="461"/>
      <c r="EP152" s="461"/>
      <c r="EQ152" s="461"/>
      <c r="ER152" s="461"/>
      <c r="ES152" s="461"/>
      <c r="ET152" s="461"/>
      <c r="EU152" s="461"/>
      <c r="EV152" s="461"/>
      <c r="EW152" s="461"/>
      <c r="EX152" s="461"/>
      <c r="EY152" s="461"/>
      <c r="EZ152" s="461"/>
      <c r="FA152" s="461"/>
      <c r="FB152" s="461"/>
      <c r="FC152" s="461"/>
      <c r="FD152" s="461"/>
      <c r="FE152" s="461"/>
      <c r="FF152" s="461"/>
      <c r="FG152" s="461"/>
      <c r="FH152" s="461"/>
      <c r="FI152" s="461"/>
      <c r="FJ152" s="461"/>
      <c r="FK152" s="461"/>
      <c r="FL152" s="461"/>
      <c r="FM152" s="461"/>
      <c r="FN152" s="461"/>
      <c r="FO152" s="461"/>
      <c r="FP152" s="461">
        <v>0.28132002001493711</v>
      </c>
      <c r="FQ152" s="461">
        <v>0.71303151169165246</v>
      </c>
      <c r="FR152" s="461">
        <v>0.70038113649551781</v>
      </c>
      <c r="FS152" s="461">
        <v>1.1308800150270972</v>
      </c>
      <c r="FT152" s="461">
        <v>1.7240167264023014</v>
      </c>
      <c r="FU152" s="461">
        <v>1.9597804930600242</v>
      </c>
      <c r="FV152" s="461">
        <v>2.3541089325753033</v>
      </c>
      <c r="FW152" s="461">
        <v>4.4559745716486603</v>
      </c>
      <c r="FX152" s="461">
        <v>7.1526361861699836</v>
      </c>
      <c r="FY152" s="461">
        <v>10.854571407440217</v>
      </c>
      <c r="FZ152" s="461"/>
      <c r="GA152" s="461"/>
      <c r="GB152" s="461"/>
      <c r="GC152" s="461"/>
      <c r="GD152" s="469"/>
      <c r="GE152" s="469"/>
      <c r="GF152" s="469"/>
      <c r="GG152" s="469"/>
      <c r="GH152" s="469"/>
      <c r="GI152" s="469"/>
      <c r="GJ152" s="469">
        <v>-0.19917707658289105</v>
      </c>
      <c r="GK152" s="469">
        <v>1.1265027065132054</v>
      </c>
      <c r="GL152" s="469">
        <v>91.443574253858444</v>
      </c>
      <c r="GM152" s="458"/>
      <c r="GN152" s="464"/>
      <c r="GO152" s="470"/>
      <c r="GP152" s="468"/>
    </row>
    <row r="153" spans="1:198" x14ac:dyDescent="0.25">
      <c r="A153" s="465" t="s">
        <v>1562</v>
      </c>
      <c r="B153" s="461">
        <v>1.832477687796596E-3</v>
      </c>
      <c r="C153" s="461">
        <v>7.2219041096970946E-3</v>
      </c>
      <c r="D153" s="461">
        <v>3.0942923960935694E-4</v>
      </c>
      <c r="E153" s="461">
        <v>5.1977673122198366E-3</v>
      </c>
      <c r="F153" s="461">
        <v>2.0395008456484058E-2</v>
      </c>
      <c r="G153" s="461">
        <v>6.9363242655448082E-3</v>
      </c>
      <c r="H153" s="461">
        <v>2.5144964336240778E-3</v>
      </c>
      <c r="I153" s="461">
        <v>3.2025107514401709E-3</v>
      </c>
      <c r="J153" s="461">
        <v>2.8852554523169994E-4</v>
      </c>
      <c r="K153" s="461">
        <v>3.2038386432319296E-3</v>
      </c>
      <c r="L153" s="461">
        <v>7.5493167256669269E-4</v>
      </c>
      <c r="M153" s="461">
        <v>1.9932710687403095E-3</v>
      </c>
      <c r="N153" s="461">
        <v>5.1460788238528385E-3</v>
      </c>
      <c r="O153" s="461">
        <v>6.3852935373292011E-4</v>
      </c>
      <c r="P153" s="461">
        <v>6.1443133714897284E-2</v>
      </c>
      <c r="Q153" s="461">
        <v>8.3500906127353114E-2</v>
      </c>
      <c r="R153" s="461">
        <v>6.2809785753555893E-4</v>
      </c>
      <c r="S153" s="461">
        <v>0.17321153262850469</v>
      </c>
      <c r="T153" s="461">
        <v>0.14084041056519481</v>
      </c>
      <c r="U153" s="461">
        <v>3.7946304485348373E-2</v>
      </c>
      <c r="V153" s="461"/>
      <c r="W153" s="461">
        <v>3.4580427128147037E-3</v>
      </c>
      <c r="X153" s="461">
        <v>4.1306473974634808E-3</v>
      </c>
      <c r="Y153" s="461"/>
      <c r="Z153" s="461">
        <v>4.7063299103435638E-2</v>
      </c>
      <c r="AA153" s="461">
        <v>1.2938515430375526E-2</v>
      </c>
      <c r="AB153" s="461"/>
      <c r="AC153" s="461"/>
      <c r="AD153" s="461">
        <v>2.6579272309834631E-2</v>
      </c>
      <c r="AE153" s="461">
        <v>7.8216592726926943E-4</v>
      </c>
      <c r="AF153" s="461"/>
      <c r="AG153" s="461"/>
      <c r="AH153" s="461">
        <v>8.5024762224123786E-3</v>
      </c>
      <c r="AI153" s="461">
        <v>5.3723201571244501E-2</v>
      </c>
      <c r="AJ153" s="461">
        <v>3.8092811683536286E-3</v>
      </c>
      <c r="AK153" s="461">
        <v>2.3093142450277944E-2</v>
      </c>
      <c r="AL153" s="461">
        <v>7.2532405955861331E-4</v>
      </c>
      <c r="AM153" s="461">
        <v>1.2189817060391451E-2</v>
      </c>
      <c r="AN153" s="461">
        <v>4.2814543914128214E-2</v>
      </c>
      <c r="AO153" s="461">
        <v>1.0135489670033661E-2</v>
      </c>
      <c r="AP153" s="461">
        <v>0.27709776892609217</v>
      </c>
      <c r="AQ153" s="461">
        <v>0.47736417761653488</v>
      </c>
      <c r="AR153" s="461">
        <v>2.9249004480016094E-4</v>
      </c>
      <c r="AS153" s="461">
        <v>6.0152755169163253E-3</v>
      </c>
      <c r="AT153" s="461">
        <v>5.4137479652246939E-2</v>
      </c>
      <c r="AU153" s="461">
        <v>1.973487194802093E-2</v>
      </c>
      <c r="AV153" s="461">
        <v>1.2731054662219801E-3</v>
      </c>
      <c r="AW153" s="461">
        <v>1.4775812969845988E-2</v>
      </c>
      <c r="AX153" s="461">
        <v>8.2666643530336908E-3</v>
      </c>
      <c r="AY153" s="461">
        <v>9.1832100063938757E-2</v>
      </c>
      <c r="AZ153" s="461">
        <v>3.8341261016681685E-2</v>
      </c>
      <c r="BA153" s="461">
        <v>6.3995089995057639E-2</v>
      </c>
      <c r="BB153" s="461">
        <v>4.0013370051968096E-2</v>
      </c>
      <c r="BC153" s="461">
        <v>1.2987216724669732E-4</v>
      </c>
      <c r="BD153" s="461">
        <v>3.1950937177259134E-5</v>
      </c>
      <c r="BE153" s="461">
        <v>1.0759789765722469E-2</v>
      </c>
      <c r="BF153" s="461">
        <v>2.4263797161102715E-2</v>
      </c>
      <c r="BG153" s="461">
        <v>4.3576125888381653E-2</v>
      </c>
      <c r="BH153" s="461">
        <v>1.3221064919507964E-2</v>
      </c>
      <c r="BI153" s="461">
        <v>2.0202825025558177E-3</v>
      </c>
      <c r="BJ153" s="461">
        <v>9.8367238850351306E-3</v>
      </c>
      <c r="BK153" s="480">
        <v>9.423756213085957E-3</v>
      </c>
      <c r="BL153" s="461">
        <v>5.6499867079061206</v>
      </c>
      <c r="BM153" s="461">
        <v>2.3485579010114592</v>
      </c>
      <c r="BN153" s="461">
        <v>0.10433143566696128</v>
      </c>
      <c r="BO153" s="461">
        <v>8.5162543163837257E-2</v>
      </c>
      <c r="BP153" s="461">
        <v>0.29712689023479938</v>
      </c>
      <c r="BQ153" s="461">
        <v>0.99485452274563679</v>
      </c>
      <c r="BR153" s="461">
        <v>1.3065145640639212E-2</v>
      </c>
      <c r="BS153" s="461">
        <v>1.2036507122822063E-2</v>
      </c>
      <c r="BT153" s="461"/>
      <c r="BU153" s="461">
        <v>0.31980538028837591</v>
      </c>
      <c r="BV153" s="461">
        <v>7.4019962917877491E-2</v>
      </c>
      <c r="BW153" s="461">
        <v>2.3486819869550694E-2</v>
      </c>
      <c r="BX153" s="461">
        <v>128.71162029952603</v>
      </c>
      <c r="BY153" s="461">
        <v>0.36579710210009009</v>
      </c>
      <c r="BZ153" s="461">
        <v>0.32641810363653029</v>
      </c>
      <c r="CA153" s="461"/>
      <c r="CB153" s="461"/>
      <c r="CC153" s="461"/>
      <c r="CD153" s="461"/>
      <c r="CE153" s="461"/>
      <c r="CF153" s="461"/>
      <c r="CG153" s="461"/>
      <c r="CH153" s="461"/>
      <c r="CI153" s="461"/>
      <c r="CJ153" s="461"/>
      <c r="CK153" s="461"/>
      <c r="CL153" s="461"/>
      <c r="CM153" s="461"/>
      <c r="CN153" s="461"/>
      <c r="CO153" s="461"/>
      <c r="CP153" s="461"/>
      <c r="CQ153" s="461"/>
      <c r="CR153" s="461"/>
      <c r="CS153" s="461"/>
      <c r="CT153" s="461"/>
      <c r="CU153" s="461"/>
      <c r="CV153" s="461"/>
      <c r="CW153" s="461"/>
      <c r="CX153" s="461"/>
      <c r="CY153" s="461"/>
      <c r="CZ153" s="461"/>
      <c r="DA153" s="461"/>
      <c r="DB153" s="461"/>
      <c r="DC153" s="461"/>
      <c r="DD153" s="461"/>
      <c r="DE153" s="461"/>
      <c r="DF153" s="461"/>
      <c r="DG153" s="461"/>
      <c r="DH153" s="461"/>
      <c r="DI153" s="461"/>
      <c r="DJ153" s="461"/>
      <c r="DK153" s="461"/>
      <c r="DL153" s="461"/>
      <c r="DM153" s="461"/>
      <c r="DN153" s="461"/>
      <c r="DO153" s="461"/>
      <c r="DP153" s="461"/>
      <c r="DQ153" s="461"/>
      <c r="DR153" s="461"/>
      <c r="DS153" s="461"/>
      <c r="DT153" s="461"/>
      <c r="DU153" s="461"/>
      <c r="DV153" s="461"/>
      <c r="DW153" s="461"/>
      <c r="DX153" s="461"/>
      <c r="DY153" s="461"/>
      <c r="DZ153" s="461"/>
      <c r="EA153" s="461"/>
      <c r="EB153" s="461"/>
      <c r="EC153" s="461"/>
      <c r="ED153" s="461"/>
      <c r="EE153" s="461"/>
      <c r="EF153" s="461"/>
      <c r="EG153" s="461"/>
      <c r="EH153" s="461"/>
      <c r="EI153" s="461"/>
      <c r="EJ153" s="461"/>
      <c r="EK153" s="461"/>
      <c r="EL153" s="461"/>
      <c r="EM153" s="461"/>
      <c r="EN153" s="461"/>
      <c r="EO153" s="461"/>
      <c r="EP153" s="461"/>
      <c r="EQ153" s="461"/>
      <c r="ER153" s="461"/>
      <c r="ES153" s="461"/>
      <c r="ET153" s="461"/>
      <c r="EU153" s="461"/>
      <c r="EV153" s="461"/>
      <c r="EW153" s="461"/>
      <c r="EX153" s="461"/>
      <c r="EY153" s="461"/>
      <c r="EZ153" s="461"/>
      <c r="FA153" s="461"/>
      <c r="FB153" s="461"/>
      <c r="FC153" s="461"/>
      <c r="FD153" s="461"/>
      <c r="FE153" s="461"/>
      <c r="FF153" s="461"/>
      <c r="FG153" s="461"/>
      <c r="FH153" s="461"/>
      <c r="FI153" s="461"/>
      <c r="FJ153" s="461"/>
      <c r="FK153" s="461"/>
      <c r="FL153" s="461"/>
      <c r="FM153" s="461"/>
      <c r="FN153" s="461"/>
      <c r="FO153" s="461"/>
      <c r="FP153" s="461">
        <v>4.0500716031118461E-2</v>
      </c>
      <c r="FQ153" s="461">
        <v>7.2031922599803747E-2</v>
      </c>
      <c r="FR153" s="461">
        <v>9.2805661433429165E-2</v>
      </c>
      <c r="FS153" s="461">
        <v>0.10616347976688051</v>
      </c>
      <c r="FT153" s="461">
        <v>0.1683716067416918</v>
      </c>
      <c r="FU153" s="461">
        <v>0.2037988602607631</v>
      </c>
      <c r="FV153" s="461">
        <v>0.39722566214999261</v>
      </c>
      <c r="FW153" s="461">
        <v>0.54567922320942475</v>
      </c>
      <c r="FX153" s="461">
        <v>1.2060550778823826</v>
      </c>
      <c r="FY153" s="461">
        <v>2.401675590156187</v>
      </c>
      <c r="FZ153" s="461"/>
      <c r="GA153" s="461"/>
      <c r="GB153" s="461"/>
      <c r="GC153" s="461"/>
      <c r="GD153" s="469"/>
      <c r="GE153" s="469"/>
      <c r="GF153" s="469"/>
      <c r="GG153" s="469"/>
      <c r="GH153" s="469">
        <v>393.90461221496304</v>
      </c>
      <c r="GI153" s="469">
        <v>14.056177057253816</v>
      </c>
      <c r="GJ153" s="469">
        <v>-1.1633984746345234</v>
      </c>
      <c r="GK153" s="469">
        <v>4.9305249202994439</v>
      </c>
      <c r="GL153" s="469">
        <v>558.30204636874555</v>
      </c>
      <c r="GM153" s="458"/>
      <c r="GN153" s="464"/>
      <c r="GO153" s="470"/>
      <c r="GP153" s="468"/>
    </row>
    <row r="154" spans="1:198" x14ac:dyDescent="0.25">
      <c r="A154" s="465" t="s">
        <v>1561</v>
      </c>
      <c r="B154" s="461">
        <v>1.4816034301351651E-3</v>
      </c>
      <c r="C154" s="461">
        <v>5.8393506638635571E-3</v>
      </c>
      <c r="D154" s="461">
        <v>2.5018871272885015E-4</v>
      </c>
      <c r="E154" s="461">
        <v>4.2023104808647958E-3</v>
      </c>
      <c r="F154" s="461">
        <v>1.6489388551898059E-2</v>
      </c>
      <c r="G154" s="461">
        <v>5.6082101320957143E-3</v>
      </c>
      <c r="H154" s="461">
        <v>2.0330940357704864E-3</v>
      </c>
      <c r="I154" s="461">
        <v>2.5893427784856923E-3</v>
      </c>
      <c r="J154" s="461">
        <v>2.3327788659306179E-4</v>
      </c>
      <c r="K154" s="461">
        <v>2.5904156914159904E-3</v>
      </c>
      <c r="L154" s="461">
        <v>6.1038674551718139E-4</v>
      </c>
      <c r="M154" s="461">
        <v>1.6116153551978987E-3</v>
      </c>
      <c r="N154" s="461">
        <v>9.4071400593886533E-3</v>
      </c>
      <c r="O154" s="461">
        <v>9.7549130859537439E-4</v>
      </c>
      <c r="P154" s="461">
        <v>1.9496384385866129E-2</v>
      </c>
      <c r="Q154" s="461">
        <v>1.9920668650127867E-2</v>
      </c>
      <c r="R154" s="461">
        <v>1.8301765728582511E-4</v>
      </c>
      <c r="S154" s="461">
        <v>1.8914813252879234E-2</v>
      </c>
      <c r="T154" s="461">
        <v>2.2409190305306789E-2</v>
      </c>
      <c r="U154" s="461">
        <v>1.1056945452436739E-2</v>
      </c>
      <c r="V154" s="461">
        <v>1.0366868869970694E-2</v>
      </c>
      <c r="W154" s="461">
        <v>1.0969503018823325E-2</v>
      </c>
      <c r="X154" s="461">
        <v>2.4508765977783842E-2</v>
      </c>
      <c r="Y154" s="461">
        <v>3.8343586120744809E-3</v>
      </c>
      <c r="Z154" s="461">
        <v>2.4959696838697112E-2</v>
      </c>
      <c r="AA154" s="461">
        <v>2.7441820139033339E-2</v>
      </c>
      <c r="AB154" s="461">
        <v>1.2719469872914904E-2</v>
      </c>
      <c r="AC154" s="461"/>
      <c r="AD154" s="461">
        <v>4.5848764136216136E-2</v>
      </c>
      <c r="AE154" s="461">
        <v>5.1955082248286454E-2</v>
      </c>
      <c r="AF154" s="461">
        <v>5.9544132991149815E-3</v>
      </c>
      <c r="AG154" s="461"/>
      <c r="AH154" s="461">
        <v>2.1073503026086283E-2</v>
      </c>
      <c r="AI154" s="461">
        <v>0.11962391202068212</v>
      </c>
      <c r="AJ154" s="461">
        <v>3.2480663966010334E-2</v>
      </c>
      <c r="AK154" s="461">
        <v>2.3138925040374739E-2</v>
      </c>
      <c r="AL154" s="461">
        <v>4.6802920984913938E-3</v>
      </c>
      <c r="AM154" s="461">
        <v>6.724608273743749E-3</v>
      </c>
      <c r="AN154" s="461">
        <v>3.5232205619495457E-2</v>
      </c>
      <c r="AO154" s="461">
        <v>0.13793987085502382</v>
      </c>
      <c r="AP154" s="461">
        <v>7.06566754054401E-2</v>
      </c>
      <c r="AQ154" s="461">
        <v>2.230194172831047E-2</v>
      </c>
      <c r="AR154" s="461">
        <v>3.08999726604643E-4</v>
      </c>
      <c r="AS154" s="461">
        <v>6.3548094139364185E-3</v>
      </c>
      <c r="AT154" s="461">
        <v>5.7193284725427784E-2</v>
      </c>
      <c r="AU154" s="461">
        <v>0.10823913802991536</v>
      </c>
      <c r="AV154" s="461">
        <v>7.3862740442376664E-3</v>
      </c>
      <c r="AW154" s="461">
        <v>2.9760818647467435E-2</v>
      </c>
      <c r="AX154" s="461">
        <v>3.3256564130187106E-2</v>
      </c>
      <c r="AY154" s="461">
        <v>0.15754089933194607</v>
      </c>
      <c r="AZ154" s="461">
        <v>3.0844860499694055E-2</v>
      </c>
      <c r="BA154" s="461">
        <v>5.2703895806757245E-2</v>
      </c>
      <c r="BB154" s="461">
        <v>6.3717349865912778E-2</v>
      </c>
      <c r="BC154" s="461">
        <v>4.5938050871640815E-4</v>
      </c>
      <c r="BD154" s="461">
        <v>1.1301603789035527E-4</v>
      </c>
      <c r="BE154" s="461">
        <v>3.8059081883951414E-2</v>
      </c>
      <c r="BF154" s="461">
        <v>1.6737338300444632E-2</v>
      </c>
      <c r="BG154" s="461">
        <v>0.14143580118287033</v>
      </c>
      <c r="BH154" s="461">
        <v>2.3033062205840761E-2</v>
      </c>
      <c r="BI154" s="461">
        <v>2.2286936708565835E-2</v>
      </c>
      <c r="BJ154" s="461">
        <v>1.4646825826026376E-2</v>
      </c>
      <c r="BK154" s="480">
        <v>4.8835945680567663E-2</v>
      </c>
      <c r="BL154" s="461">
        <v>7.9762818585774574E-3</v>
      </c>
      <c r="BM154" s="461">
        <v>7.8967519752679863E-2</v>
      </c>
      <c r="BN154" s="461">
        <v>1.7912020657989112</v>
      </c>
      <c r="BO154" s="461">
        <v>7.4047512854789249E-2</v>
      </c>
      <c r="BP154" s="461">
        <v>0.3396498029824388</v>
      </c>
      <c r="BQ154" s="461">
        <v>1.1374507796387658</v>
      </c>
      <c r="BR154" s="461">
        <v>6.254246161894908E-2</v>
      </c>
      <c r="BS154" s="461">
        <v>5.7614098419630264E-2</v>
      </c>
      <c r="BT154" s="461"/>
      <c r="BU154" s="461">
        <v>0.25237630619344587</v>
      </c>
      <c r="BV154" s="461">
        <v>8.7249844626101386E-2</v>
      </c>
      <c r="BW154" s="461">
        <v>9.8184511750090103E-2</v>
      </c>
      <c r="BX154" s="461">
        <v>57.815245550981636</v>
      </c>
      <c r="BY154" s="461">
        <v>0.26274385041376103</v>
      </c>
      <c r="BZ154" s="461">
        <v>0.46138056438037145</v>
      </c>
      <c r="CA154" s="461"/>
      <c r="CB154" s="461"/>
      <c r="CC154" s="461"/>
      <c r="CD154" s="461"/>
      <c r="CE154" s="461"/>
      <c r="CF154" s="461"/>
      <c r="CG154" s="461"/>
      <c r="CH154" s="461"/>
      <c r="CI154" s="461"/>
      <c r="CJ154" s="461"/>
      <c r="CK154" s="461"/>
      <c r="CL154" s="461"/>
      <c r="CM154" s="461"/>
      <c r="CN154" s="461"/>
      <c r="CO154" s="461"/>
      <c r="CP154" s="461"/>
      <c r="CQ154" s="461"/>
      <c r="CR154" s="461"/>
      <c r="CS154" s="461"/>
      <c r="CT154" s="461"/>
      <c r="CU154" s="461"/>
      <c r="CV154" s="461"/>
      <c r="CW154" s="461"/>
      <c r="CX154" s="461"/>
      <c r="CY154" s="461"/>
      <c r="CZ154" s="461"/>
      <c r="DA154" s="461"/>
      <c r="DB154" s="461"/>
      <c r="DC154" s="461"/>
      <c r="DD154" s="461"/>
      <c r="DE154" s="461"/>
      <c r="DF154" s="461"/>
      <c r="DG154" s="461"/>
      <c r="DH154" s="461"/>
      <c r="DI154" s="461"/>
      <c r="DJ154" s="461"/>
      <c r="DK154" s="461"/>
      <c r="DL154" s="461"/>
      <c r="DM154" s="461"/>
      <c r="DN154" s="461"/>
      <c r="DO154" s="461"/>
      <c r="DP154" s="461"/>
      <c r="DQ154" s="461"/>
      <c r="DR154" s="461"/>
      <c r="DS154" s="461"/>
      <c r="DT154" s="461"/>
      <c r="DU154" s="461"/>
      <c r="DV154" s="461"/>
      <c r="DW154" s="461"/>
      <c r="DX154" s="461"/>
      <c r="DY154" s="461"/>
      <c r="DZ154" s="461"/>
      <c r="EA154" s="461"/>
      <c r="EB154" s="461"/>
      <c r="EC154" s="461"/>
      <c r="ED154" s="461"/>
      <c r="EE154" s="461"/>
      <c r="EF154" s="461"/>
      <c r="EG154" s="461"/>
      <c r="EH154" s="461"/>
      <c r="EI154" s="461"/>
      <c r="EJ154" s="461"/>
      <c r="EK154" s="461"/>
      <c r="EL154" s="461"/>
      <c r="EM154" s="461"/>
      <c r="EN154" s="461"/>
      <c r="EO154" s="461"/>
      <c r="EP154" s="461"/>
      <c r="EQ154" s="461"/>
      <c r="ER154" s="461"/>
      <c r="ES154" s="461"/>
      <c r="ET154" s="461"/>
      <c r="EU154" s="461"/>
      <c r="EV154" s="461"/>
      <c r="EW154" s="461"/>
      <c r="EX154" s="461"/>
      <c r="EY154" s="461"/>
      <c r="EZ154" s="461"/>
      <c r="FA154" s="461"/>
      <c r="FB154" s="461"/>
      <c r="FC154" s="461"/>
      <c r="FD154" s="461"/>
      <c r="FE154" s="461"/>
      <c r="FF154" s="461">
        <v>948.66406710231092</v>
      </c>
      <c r="FG154" s="461"/>
      <c r="FH154" s="461"/>
      <c r="FI154" s="461"/>
      <c r="FJ154" s="461"/>
      <c r="FK154" s="461"/>
      <c r="FL154" s="461"/>
      <c r="FM154" s="461"/>
      <c r="FN154" s="461"/>
      <c r="FO154" s="461"/>
      <c r="FP154" s="461"/>
      <c r="FQ154" s="461"/>
      <c r="FR154" s="461"/>
      <c r="FS154" s="461"/>
      <c r="FT154" s="461"/>
      <c r="FU154" s="461"/>
      <c r="FV154" s="461"/>
      <c r="FW154" s="461"/>
      <c r="FX154" s="461"/>
      <c r="FY154" s="461"/>
      <c r="FZ154" s="461"/>
      <c r="GA154" s="461"/>
      <c r="GB154" s="461"/>
      <c r="GC154" s="461"/>
      <c r="GD154" s="469"/>
      <c r="GE154" s="469"/>
      <c r="GF154" s="469"/>
      <c r="GG154" s="469"/>
      <c r="GH154" s="469"/>
      <c r="GI154" s="469"/>
      <c r="GJ154" s="469">
        <v>-0.15257161059473801</v>
      </c>
      <c r="GK154" s="469">
        <v>32.04271355071451</v>
      </c>
      <c r="GL154" s="469">
        <v>1044.7720686528407</v>
      </c>
      <c r="GM154" s="458"/>
      <c r="GN154" s="464"/>
      <c r="GO154" s="470"/>
      <c r="GP154" s="468"/>
    </row>
    <row r="155" spans="1:198" x14ac:dyDescent="0.25">
      <c r="A155" s="465" t="s">
        <v>1560</v>
      </c>
      <c r="B155" s="461">
        <v>1.330346469163387E-4</v>
      </c>
      <c r="C155" s="461">
        <v>5.2441226939843935E-4</v>
      </c>
      <c r="D155" s="461">
        <v>2.2467289337780057E-5</v>
      </c>
      <c r="E155" s="461">
        <v>3.7725642462681458E-4</v>
      </c>
      <c r="F155" s="461">
        <v>1.4804371889561893E-3</v>
      </c>
      <c r="G155" s="461">
        <v>5.0357431569853037E-4</v>
      </c>
      <c r="H155" s="461">
        <v>1.8257482247429645E-4</v>
      </c>
      <c r="I155" s="461">
        <v>2.3251138021941826E-4</v>
      </c>
      <c r="J155" s="461">
        <v>2.0945510934007722E-5</v>
      </c>
      <c r="K155" s="461">
        <v>2.326074694286394E-4</v>
      </c>
      <c r="L155" s="461">
        <v>5.480924703353427E-5</v>
      </c>
      <c r="M155" s="461">
        <v>1.4471079699889471E-4</v>
      </c>
      <c r="N155" s="461"/>
      <c r="O155" s="461"/>
      <c r="P155" s="461">
        <v>0.10953936743012052</v>
      </c>
      <c r="Q155" s="461">
        <v>3.4955322297856938E-2</v>
      </c>
      <c r="R155" s="461">
        <v>1.3224994944961354E-3</v>
      </c>
      <c r="S155" s="461">
        <v>0.20700689223862201</v>
      </c>
      <c r="T155" s="461">
        <v>7.5370100780577209E-2</v>
      </c>
      <c r="U155" s="461">
        <v>7.9898327780919987E-2</v>
      </c>
      <c r="V155" s="461">
        <v>7.0598026758648619E-3</v>
      </c>
      <c r="W155" s="461">
        <v>2.5454759741795926E-3</v>
      </c>
      <c r="X155" s="461">
        <v>4.1954091248893453E-2</v>
      </c>
      <c r="Y155" s="461"/>
      <c r="Z155" s="461">
        <v>2.6604332549549175E-2</v>
      </c>
      <c r="AA155" s="461">
        <v>1.333975390459451E-2</v>
      </c>
      <c r="AB155" s="461"/>
      <c r="AC155" s="461"/>
      <c r="AD155" s="461">
        <v>9.8687626834827777E-2</v>
      </c>
      <c r="AE155" s="461">
        <v>1.4819921602213734E-2</v>
      </c>
      <c r="AF155" s="461">
        <v>2.496883822328841E-3</v>
      </c>
      <c r="AG155" s="461"/>
      <c r="AH155" s="461">
        <v>1.668189960154132E-2</v>
      </c>
      <c r="AI155" s="461">
        <v>0.10504847684000546</v>
      </c>
      <c r="AJ155" s="461">
        <v>3.6660488466375256E-2</v>
      </c>
      <c r="AK155" s="461">
        <v>3.2385365370405733E-2</v>
      </c>
      <c r="AL155" s="461">
        <v>7.0857731979626264E-3</v>
      </c>
      <c r="AM155" s="461">
        <v>1.025719362466335E-2</v>
      </c>
      <c r="AN155" s="461">
        <v>7.8814317260523653E-2</v>
      </c>
      <c r="AO155" s="461">
        <v>0.10223243840680127</v>
      </c>
      <c r="AP155" s="461">
        <v>0.20586100675708491</v>
      </c>
      <c r="AQ155" s="461">
        <v>7.0876536542766447E-2</v>
      </c>
      <c r="AR155" s="461">
        <v>7.159294679849336E-4</v>
      </c>
      <c r="AS155" s="461">
        <v>1.4723622486197975E-2</v>
      </c>
      <c r="AT155" s="461">
        <v>0.1325126023757818</v>
      </c>
      <c r="AU155" s="461">
        <v>0.21385481573560391</v>
      </c>
      <c r="AV155" s="461">
        <v>2.5534521572907972E-2</v>
      </c>
      <c r="AW155" s="461">
        <v>0.21633736117808405</v>
      </c>
      <c r="AX155" s="461">
        <v>9.9837726189839063E-2</v>
      </c>
      <c r="AY155" s="461">
        <v>6.7980190480008654E-2</v>
      </c>
      <c r="AZ155" s="461">
        <v>2.356423714557614E-2</v>
      </c>
      <c r="BA155" s="461">
        <v>0.13922220780420988</v>
      </c>
      <c r="BB155" s="461">
        <v>0.27854324532998587</v>
      </c>
      <c r="BC155" s="461">
        <v>1.9678111500938595E-3</v>
      </c>
      <c r="BD155" s="461">
        <v>4.8411766559595807E-4</v>
      </c>
      <c r="BE155" s="461">
        <v>0.16302717855987964</v>
      </c>
      <c r="BF155" s="461">
        <v>0.10922998489032919</v>
      </c>
      <c r="BG155" s="461">
        <v>0.28674966234192661</v>
      </c>
      <c r="BH155" s="461">
        <v>1.6293870034231293E-2</v>
      </c>
      <c r="BI155" s="461">
        <v>2.8033879918615546E-2</v>
      </c>
      <c r="BJ155" s="461">
        <v>7.4780369659128085E-2</v>
      </c>
      <c r="BK155" s="480">
        <v>0.34365143025553868</v>
      </c>
      <c r="BL155" s="461">
        <v>3.7171294973900842E-2</v>
      </c>
      <c r="BM155" s="461">
        <v>1.3231457323788658</v>
      </c>
      <c r="BN155" s="461">
        <v>4.6187503059532435</v>
      </c>
      <c r="BO155" s="461">
        <v>0.55995895136545182</v>
      </c>
      <c r="BP155" s="461">
        <v>1.4727360723109451</v>
      </c>
      <c r="BQ155" s="461">
        <v>4.9560398470762488</v>
      </c>
      <c r="BR155" s="461">
        <v>0.56677707743054839</v>
      </c>
      <c r="BS155" s="461">
        <v>0.52169866690022482</v>
      </c>
      <c r="BT155" s="461"/>
      <c r="BU155" s="461">
        <v>1.4305651504847343</v>
      </c>
      <c r="BV155" s="461">
        <v>0.56016006426069698</v>
      </c>
      <c r="BW155" s="461">
        <v>0.16572089783992763</v>
      </c>
      <c r="BX155" s="461">
        <v>10.802776851475215</v>
      </c>
      <c r="BY155" s="461">
        <v>2.219113280401587</v>
      </c>
      <c r="BZ155" s="461">
        <v>17.82278116430841</v>
      </c>
      <c r="CA155" s="461"/>
      <c r="CB155" s="461"/>
      <c r="CC155" s="461"/>
      <c r="CD155" s="461"/>
      <c r="CE155" s="461"/>
      <c r="CF155" s="461"/>
      <c r="CG155" s="461"/>
      <c r="CH155" s="461"/>
      <c r="CI155" s="461"/>
      <c r="CJ155" s="461"/>
      <c r="CK155" s="461"/>
      <c r="CL155" s="461"/>
      <c r="CM155" s="461"/>
      <c r="CN155" s="461"/>
      <c r="CO155" s="461"/>
      <c r="CP155" s="461"/>
      <c r="CQ155" s="461"/>
      <c r="CR155" s="461"/>
      <c r="CS155" s="461"/>
      <c r="CT155" s="461"/>
      <c r="CU155" s="461"/>
      <c r="CV155" s="461"/>
      <c r="CW155" s="461"/>
      <c r="CX155" s="461"/>
      <c r="CY155" s="461"/>
      <c r="CZ155" s="461"/>
      <c r="DA155" s="461"/>
      <c r="DB155" s="461"/>
      <c r="DC155" s="461"/>
      <c r="DD155" s="461"/>
      <c r="DE155" s="461"/>
      <c r="DF155" s="461"/>
      <c r="DG155" s="461"/>
      <c r="DH155" s="461"/>
      <c r="DI155" s="461"/>
      <c r="DJ155" s="461"/>
      <c r="DK155" s="461"/>
      <c r="DL155" s="461"/>
      <c r="DM155" s="461"/>
      <c r="DN155" s="461"/>
      <c r="DO155" s="461"/>
      <c r="DP155" s="461"/>
      <c r="DQ155" s="461"/>
      <c r="DR155" s="461"/>
      <c r="DS155" s="461"/>
      <c r="DT155" s="461"/>
      <c r="DU155" s="461"/>
      <c r="DV155" s="461"/>
      <c r="DW155" s="461"/>
      <c r="DX155" s="461"/>
      <c r="DY155" s="461"/>
      <c r="DZ155" s="461"/>
      <c r="EA155" s="461"/>
      <c r="EB155" s="461"/>
      <c r="EC155" s="461"/>
      <c r="ED155" s="461"/>
      <c r="EE155" s="461"/>
      <c r="EF155" s="461"/>
      <c r="EG155" s="461"/>
      <c r="EH155" s="461"/>
      <c r="EI155" s="461"/>
      <c r="EJ155" s="461"/>
      <c r="EK155" s="461"/>
      <c r="EL155" s="461"/>
      <c r="EM155" s="461"/>
      <c r="EN155" s="461"/>
      <c r="EO155" s="461"/>
      <c r="EP155" s="461"/>
      <c r="EQ155" s="461"/>
      <c r="ER155" s="461"/>
      <c r="ES155" s="461"/>
      <c r="ET155" s="461"/>
      <c r="EU155" s="461"/>
      <c r="EV155" s="461"/>
      <c r="EW155" s="461"/>
      <c r="EX155" s="461"/>
      <c r="EY155" s="461"/>
      <c r="EZ155" s="461"/>
      <c r="FA155" s="461"/>
      <c r="FB155" s="461"/>
      <c r="FC155" s="461"/>
      <c r="FD155" s="461"/>
      <c r="FE155" s="461"/>
      <c r="FF155" s="461"/>
      <c r="FG155" s="461"/>
      <c r="FH155" s="461"/>
      <c r="FI155" s="461"/>
      <c r="FJ155" s="461"/>
      <c r="FK155" s="461"/>
      <c r="FL155" s="461"/>
      <c r="FM155" s="461"/>
      <c r="FN155" s="461"/>
      <c r="FO155" s="461"/>
      <c r="FP155" s="461">
        <v>0.98331534683345068</v>
      </c>
      <c r="FQ155" s="461">
        <v>1.8053003407758967</v>
      </c>
      <c r="FR155" s="461">
        <v>2.512240751858644</v>
      </c>
      <c r="FS155" s="461">
        <v>3.042965851321783</v>
      </c>
      <c r="FT155" s="461">
        <v>3.7884474354772975</v>
      </c>
      <c r="FU155" s="461">
        <v>4.7234900400103781</v>
      </c>
      <c r="FV155" s="461">
        <v>5.9383302346992037</v>
      </c>
      <c r="FW155" s="461">
        <v>9.4267330771464817</v>
      </c>
      <c r="FX155" s="461">
        <v>15.277081429293903</v>
      </c>
      <c r="FY155" s="461">
        <v>43.286731518592241</v>
      </c>
      <c r="FZ155" s="461"/>
      <c r="GA155" s="461"/>
      <c r="GB155" s="461"/>
      <c r="GC155" s="461"/>
      <c r="GD155" s="469"/>
      <c r="GE155" s="469"/>
      <c r="GF155" s="469"/>
      <c r="GG155" s="469"/>
      <c r="GH155" s="469"/>
      <c r="GI155" s="469"/>
      <c r="GJ155" s="469">
        <v>-0.45832457062444887</v>
      </c>
      <c r="GK155" s="469">
        <v>18.162087639982577</v>
      </c>
      <c r="GL155" s="469">
        <v>159.16825245283411</v>
      </c>
      <c r="GM155" s="458"/>
      <c r="GN155" s="464"/>
      <c r="GO155" s="470"/>
      <c r="GP155" s="468"/>
    </row>
    <row r="156" spans="1:198" x14ac:dyDescent="0.25">
      <c r="A156" s="465" t="s">
        <v>1559</v>
      </c>
      <c r="B156" s="461"/>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c r="AA156" s="461"/>
      <c r="AB156" s="461"/>
      <c r="AC156" s="461"/>
      <c r="AD156" s="461"/>
      <c r="AE156" s="461"/>
      <c r="AF156" s="461"/>
      <c r="AG156" s="461"/>
      <c r="AH156" s="461"/>
      <c r="AI156" s="461"/>
      <c r="AJ156" s="461"/>
      <c r="AK156" s="461"/>
      <c r="AL156" s="461"/>
      <c r="AM156" s="461"/>
      <c r="AN156" s="461"/>
      <c r="AO156" s="461"/>
      <c r="AP156" s="461"/>
      <c r="AQ156" s="461"/>
      <c r="AR156" s="461"/>
      <c r="AS156" s="461"/>
      <c r="AT156" s="461"/>
      <c r="AU156" s="461"/>
      <c r="AV156" s="461"/>
      <c r="AW156" s="461"/>
      <c r="AX156" s="461"/>
      <c r="AY156" s="461"/>
      <c r="AZ156" s="461"/>
      <c r="BA156" s="461"/>
      <c r="BB156" s="461"/>
      <c r="BC156" s="461"/>
      <c r="BD156" s="461"/>
      <c r="BE156" s="461"/>
      <c r="BF156" s="461"/>
      <c r="BG156" s="461"/>
      <c r="BH156" s="461"/>
      <c r="BI156" s="461"/>
      <c r="BJ156" s="461"/>
      <c r="BK156" s="480"/>
      <c r="BL156" s="461"/>
      <c r="BM156" s="461"/>
      <c r="BN156" s="461"/>
      <c r="BO156" s="461"/>
      <c r="BP156" s="461"/>
      <c r="BQ156" s="461"/>
      <c r="BR156" s="461"/>
      <c r="BS156" s="461"/>
      <c r="BT156" s="461"/>
      <c r="BU156" s="461"/>
      <c r="BV156" s="461"/>
      <c r="BW156" s="461"/>
      <c r="BX156" s="461"/>
      <c r="BY156" s="461"/>
      <c r="BZ156" s="461"/>
      <c r="CA156" s="461"/>
      <c r="CB156" s="461"/>
      <c r="CC156" s="461"/>
      <c r="CD156" s="461"/>
      <c r="CE156" s="461"/>
      <c r="CF156" s="461"/>
      <c r="CG156" s="461"/>
      <c r="CH156" s="461"/>
      <c r="CI156" s="461"/>
      <c r="CJ156" s="461"/>
      <c r="CK156" s="461"/>
      <c r="CL156" s="461"/>
      <c r="CM156" s="461"/>
      <c r="CN156" s="461"/>
      <c r="CO156" s="461"/>
      <c r="CP156" s="461"/>
      <c r="CQ156" s="461"/>
      <c r="CR156" s="461"/>
      <c r="CS156" s="461"/>
      <c r="CT156" s="461"/>
      <c r="CU156" s="461"/>
      <c r="CV156" s="461"/>
      <c r="CW156" s="461"/>
      <c r="CX156" s="461"/>
      <c r="CY156" s="461"/>
      <c r="CZ156" s="461"/>
      <c r="DA156" s="461"/>
      <c r="DB156" s="461"/>
      <c r="DC156" s="461"/>
      <c r="DD156" s="461"/>
      <c r="DE156" s="461"/>
      <c r="DF156" s="461"/>
      <c r="DG156" s="461"/>
      <c r="DH156" s="461"/>
      <c r="DI156" s="461"/>
      <c r="DJ156" s="461"/>
      <c r="DK156" s="461"/>
      <c r="DL156" s="461"/>
      <c r="DM156" s="461"/>
      <c r="DN156" s="461"/>
      <c r="DO156" s="461"/>
      <c r="DP156" s="461"/>
      <c r="DQ156" s="461"/>
      <c r="DR156" s="461"/>
      <c r="DS156" s="461"/>
      <c r="DT156" s="461"/>
      <c r="DU156" s="461"/>
      <c r="DV156" s="461"/>
      <c r="DW156" s="461"/>
      <c r="DX156" s="461"/>
      <c r="DY156" s="461"/>
      <c r="DZ156" s="461"/>
      <c r="EA156" s="461"/>
      <c r="EB156" s="461"/>
      <c r="EC156" s="461"/>
      <c r="ED156" s="461"/>
      <c r="EE156" s="461"/>
      <c r="EF156" s="461"/>
      <c r="EG156" s="461"/>
      <c r="EH156" s="461"/>
      <c r="EI156" s="461"/>
      <c r="EJ156" s="461"/>
      <c r="EK156" s="461"/>
      <c r="EL156" s="461"/>
      <c r="EM156" s="461"/>
      <c r="EN156" s="461"/>
      <c r="EO156" s="461"/>
      <c r="EP156" s="461"/>
      <c r="EQ156" s="461"/>
      <c r="ER156" s="461"/>
      <c r="ES156" s="461"/>
      <c r="ET156" s="461"/>
      <c r="EU156" s="461"/>
      <c r="EV156" s="461"/>
      <c r="EW156" s="461"/>
      <c r="EX156" s="461"/>
      <c r="EY156" s="461"/>
      <c r="EZ156" s="461"/>
      <c r="FA156" s="461"/>
      <c r="FB156" s="461"/>
      <c r="FC156" s="461"/>
      <c r="FD156" s="461"/>
      <c r="FE156" s="461"/>
      <c r="FF156" s="461"/>
      <c r="FG156" s="461"/>
      <c r="FH156" s="461"/>
      <c r="FI156" s="461"/>
      <c r="FJ156" s="461"/>
      <c r="FK156" s="461"/>
      <c r="FL156" s="461"/>
      <c r="FM156" s="461"/>
      <c r="FN156" s="461"/>
      <c r="FO156" s="461"/>
      <c r="FP156" s="461">
        <v>5.6874908877853354</v>
      </c>
      <c r="FQ156" s="461">
        <v>7.6409111410529906</v>
      </c>
      <c r="FR156" s="461">
        <v>9.9214744095891607</v>
      </c>
      <c r="FS156" s="461">
        <v>11.584033850858679</v>
      </c>
      <c r="FT156" s="461">
        <v>12.478465628290575</v>
      </c>
      <c r="FU156" s="461">
        <v>16.486620186050889</v>
      </c>
      <c r="FV156" s="461">
        <v>16.261964512508467</v>
      </c>
      <c r="FW156" s="461">
        <v>15.975732061923043</v>
      </c>
      <c r="FX156" s="461">
        <v>13.050254443974884</v>
      </c>
      <c r="FY156" s="461">
        <v>15.660184925017495</v>
      </c>
      <c r="FZ156" s="461"/>
      <c r="GA156" s="461"/>
      <c r="GB156" s="461"/>
      <c r="GC156" s="461"/>
      <c r="GD156" s="469"/>
      <c r="GE156" s="469"/>
      <c r="GF156" s="469"/>
      <c r="GG156" s="469"/>
      <c r="GH156" s="469"/>
      <c r="GI156" s="469"/>
      <c r="GJ156" s="469">
        <v>-0.52067104198635383</v>
      </c>
      <c r="GK156" s="469">
        <v>21.48951340288971</v>
      </c>
      <c r="GL156" s="469">
        <v>145.71597440795486</v>
      </c>
      <c r="GM156" s="458"/>
      <c r="GN156" s="464"/>
      <c r="GO156" s="470"/>
      <c r="GP156" s="468"/>
    </row>
    <row r="157" spans="1:198" x14ac:dyDescent="0.25">
      <c r="A157" s="465" t="s">
        <v>1558</v>
      </c>
      <c r="B157" s="461">
        <v>0.27945797295283004</v>
      </c>
      <c r="C157" s="461">
        <v>1.3337505826859968</v>
      </c>
      <c r="D157" s="461">
        <v>7.123171770021916E-2</v>
      </c>
      <c r="E157" s="461">
        <v>1.3106523395165983</v>
      </c>
      <c r="F157" s="461">
        <v>2.7108311022293812</v>
      </c>
      <c r="G157" s="461">
        <v>0.17430356542778314</v>
      </c>
      <c r="H157" s="461">
        <v>0.52310609253582541</v>
      </c>
      <c r="I157" s="461">
        <v>0.87586008083870359</v>
      </c>
      <c r="J157" s="461">
        <v>5.8432551549402932E-2</v>
      </c>
      <c r="K157" s="461">
        <v>0.46366761960179154</v>
      </c>
      <c r="L157" s="461">
        <v>0.35069186366151722</v>
      </c>
      <c r="M157" s="461">
        <v>1.1601923529420601</v>
      </c>
      <c r="N157" s="461">
        <v>1.5691720805890352</v>
      </c>
      <c r="O157" s="461">
        <v>0.1926878679362414</v>
      </c>
      <c r="P157" s="461">
        <v>4.2365148552524126</v>
      </c>
      <c r="Q157" s="461">
        <v>1.382487958472373</v>
      </c>
      <c r="R157" s="461">
        <v>0.2169864321996543</v>
      </c>
      <c r="S157" s="461">
        <v>4.449832998293985</v>
      </c>
      <c r="T157" s="461">
        <v>3.8425769190439976</v>
      </c>
      <c r="U157" s="461">
        <v>2.4593172422321219</v>
      </c>
      <c r="V157" s="461">
        <v>0.20710413381071391</v>
      </c>
      <c r="W157" s="461">
        <v>0.35240691182944339</v>
      </c>
      <c r="X157" s="461">
        <v>0.97322211119600543</v>
      </c>
      <c r="Y157" s="461">
        <v>0.31042203396029333</v>
      </c>
      <c r="Z157" s="461">
        <v>0.62804019256125398</v>
      </c>
      <c r="AA157" s="461">
        <v>1.2140922072581135</v>
      </c>
      <c r="AB157" s="461">
        <v>0.75097752986999455</v>
      </c>
      <c r="AC157" s="461">
        <v>6.0182713753665337E-2</v>
      </c>
      <c r="AD157" s="461">
        <v>2.9171300664903388</v>
      </c>
      <c r="AE157" s="461">
        <v>0.72638378229403022</v>
      </c>
      <c r="AF157" s="461">
        <v>0.21502955116181188</v>
      </c>
      <c r="AG157" s="461">
        <v>6.0918374479410203E-2</v>
      </c>
      <c r="AH157" s="461">
        <v>0.37983095006545475</v>
      </c>
      <c r="AI157" s="461">
        <v>1.3791302294498133</v>
      </c>
      <c r="AJ157" s="461">
        <v>0.6323577962054584</v>
      </c>
      <c r="AK157" s="461">
        <v>0.47784790935276095</v>
      </c>
      <c r="AL157" s="461">
        <v>5.3500685360425147E-2</v>
      </c>
      <c r="AM157" s="461">
        <v>0.16599476867483398</v>
      </c>
      <c r="AN157" s="461">
        <v>1.7640949547445177</v>
      </c>
      <c r="AO157" s="461">
        <v>2.3008118327303939</v>
      </c>
      <c r="AP157" s="461">
        <v>1.3792210018625972</v>
      </c>
      <c r="AQ157" s="461">
        <v>2.1739365705732872</v>
      </c>
      <c r="AR157" s="461">
        <v>0.12778419725772786</v>
      </c>
      <c r="AS157" s="461">
        <v>2.627977146156852</v>
      </c>
      <c r="AT157" s="461">
        <v>23.651794315411671</v>
      </c>
      <c r="AU157" s="461">
        <v>12.587870393873747</v>
      </c>
      <c r="AV157" s="461">
        <v>0.9435762853042462</v>
      </c>
      <c r="AW157" s="461">
        <v>1.1016658425927877</v>
      </c>
      <c r="AX157" s="461">
        <v>3.8233147626976276</v>
      </c>
      <c r="AY157" s="461">
        <v>32.434668749358053</v>
      </c>
      <c r="AZ157" s="461">
        <v>0.24054267930189083</v>
      </c>
      <c r="BA157" s="461">
        <v>0.94799757510457738</v>
      </c>
      <c r="BB157" s="461">
        <v>1.2907232032042752</v>
      </c>
      <c r="BC157" s="461">
        <v>2.4667344921402046E-2</v>
      </c>
      <c r="BD157" s="461">
        <v>6.0686196636449974E-3</v>
      </c>
      <c r="BE157" s="461">
        <v>2.1788571111133908</v>
      </c>
      <c r="BF157" s="461">
        <v>0.45965738956207436</v>
      </c>
      <c r="BG157" s="461">
        <v>1.7164499274286495</v>
      </c>
      <c r="BH157" s="461">
        <v>0.17255573313458403</v>
      </c>
      <c r="BI157" s="461">
        <v>0.74631379146809418</v>
      </c>
      <c r="BJ157" s="461">
        <v>0.48616311847554289</v>
      </c>
      <c r="BK157" s="481">
        <v>1.453654043553712</v>
      </c>
      <c r="BL157" s="461">
        <v>0.95956675035636785</v>
      </c>
      <c r="BM157" s="461">
        <v>26.113603453720678</v>
      </c>
      <c r="BN157" s="461">
        <v>47.342006520522695</v>
      </c>
      <c r="BO157" s="461">
        <v>2.6195026646686306</v>
      </c>
      <c r="BP157" s="461">
        <v>3.301771017947996</v>
      </c>
      <c r="BQ157" s="461">
        <v>11.141345149100863</v>
      </c>
      <c r="BR157" s="461">
        <v>0.66042244151205798</v>
      </c>
      <c r="BS157" s="461">
        <v>0.60782225153597014</v>
      </c>
      <c r="BT157" s="461"/>
      <c r="BU157" s="461">
        <v>20.776553641497852</v>
      </c>
      <c r="BV157" s="461">
        <v>5.8006389675401042</v>
      </c>
      <c r="BW157" s="461">
        <v>3.4065155313228836</v>
      </c>
      <c r="BX157" s="461">
        <v>61.98952163309086</v>
      </c>
      <c r="BY157" s="461">
        <v>30.217588873818368</v>
      </c>
      <c r="BZ157" s="461">
        <v>18.471177820310363</v>
      </c>
      <c r="CA157" s="461"/>
      <c r="CB157" s="461"/>
      <c r="CC157" s="461"/>
      <c r="CD157" s="461"/>
      <c r="CE157" s="461"/>
      <c r="CF157" s="461"/>
      <c r="CG157" s="461"/>
      <c r="CH157" s="461"/>
      <c r="CI157" s="461"/>
      <c r="CJ157" s="461"/>
      <c r="CK157" s="461"/>
      <c r="CL157" s="461"/>
      <c r="CM157" s="461"/>
      <c r="CN157" s="461"/>
      <c r="CO157" s="461"/>
      <c r="CP157" s="461"/>
      <c r="CQ157" s="461"/>
      <c r="CR157" s="461"/>
      <c r="CS157" s="461"/>
      <c r="CT157" s="461"/>
      <c r="CU157" s="461"/>
      <c r="CV157" s="461"/>
      <c r="CW157" s="461"/>
      <c r="CX157" s="461"/>
      <c r="CY157" s="461"/>
      <c r="CZ157" s="461"/>
      <c r="DA157" s="461"/>
      <c r="DB157" s="461"/>
      <c r="DC157" s="461"/>
      <c r="DD157" s="461"/>
      <c r="DE157" s="461"/>
      <c r="DF157" s="461"/>
      <c r="DG157" s="461"/>
      <c r="DH157" s="461"/>
      <c r="DI157" s="461"/>
      <c r="DJ157" s="461"/>
      <c r="DK157" s="461"/>
      <c r="DL157" s="461"/>
      <c r="DM157" s="461"/>
      <c r="DN157" s="461"/>
      <c r="DO157" s="461"/>
      <c r="DP157" s="461"/>
      <c r="DQ157" s="461"/>
      <c r="DR157" s="461"/>
      <c r="DS157" s="461"/>
      <c r="DT157" s="461"/>
      <c r="DU157" s="461"/>
      <c r="DV157" s="461"/>
      <c r="DW157" s="461"/>
      <c r="DX157" s="461"/>
      <c r="DY157" s="461"/>
      <c r="DZ157" s="461"/>
      <c r="EA157" s="461"/>
      <c r="EB157" s="461"/>
      <c r="EC157" s="461"/>
      <c r="ED157" s="461"/>
      <c r="EE157" s="461"/>
      <c r="EF157" s="461"/>
      <c r="EG157" s="461"/>
      <c r="EH157" s="461"/>
      <c r="EI157" s="461"/>
      <c r="EJ157" s="461"/>
      <c r="EK157" s="461"/>
      <c r="EL157" s="461"/>
      <c r="EM157" s="461"/>
      <c r="EN157" s="461"/>
      <c r="EO157" s="461"/>
      <c r="EP157" s="461"/>
      <c r="EQ157" s="461"/>
      <c r="ER157" s="461"/>
      <c r="ES157" s="461"/>
      <c r="ET157" s="461"/>
      <c r="EU157" s="461"/>
      <c r="EV157" s="461"/>
      <c r="EW157" s="461"/>
      <c r="EX157" s="461"/>
      <c r="EY157" s="461"/>
      <c r="EZ157" s="461"/>
      <c r="FA157" s="461"/>
      <c r="FB157" s="461"/>
      <c r="FC157" s="461"/>
      <c r="FD157" s="461"/>
      <c r="FE157" s="461"/>
      <c r="FF157" s="461">
        <v>89.401560495906395</v>
      </c>
      <c r="FG157" s="461"/>
      <c r="FH157" s="461"/>
      <c r="FI157" s="461"/>
      <c r="FJ157" s="461"/>
      <c r="FK157" s="461"/>
      <c r="FL157" s="461"/>
      <c r="FM157" s="461"/>
      <c r="FN157" s="461"/>
      <c r="FO157" s="461"/>
      <c r="FP157" s="461">
        <v>3.0848796039229445</v>
      </c>
      <c r="FQ157" s="461">
        <v>2.5587275704014081</v>
      </c>
      <c r="FR157" s="461">
        <v>1.3097995737206047</v>
      </c>
      <c r="FS157" s="461">
        <v>13.092183012667384</v>
      </c>
      <c r="FT157" s="461">
        <v>3.8816660247006798</v>
      </c>
      <c r="FU157" s="461">
        <v>24.989253821054788</v>
      </c>
      <c r="FV157" s="461">
        <v>28.769310924672379</v>
      </c>
      <c r="FW157" s="461">
        <v>4.3519423075974135</v>
      </c>
      <c r="FX157" s="461">
        <v>11.454750156133437</v>
      </c>
      <c r="FY157" s="461">
        <v>16.589493816016603</v>
      </c>
      <c r="FZ157" s="461"/>
      <c r="GA157" s="461"/>
      <c r="GB157" s="461"/>
      <c r="GC157" s="461"/>
      <c r="GD157" s="469"/>
      <c r="GE157" s="469"/>
      <c r="GF157" s="469"/>
      <c r="GG157" s="469"/>
      <c r="GH157" s="469"/>
      <c r="GI157" s="469"/>
      <c r="GJ157" s="469">
        <v>0.47041003486143906</v>
      </c>
      <c r="GK157" s="469">
        <v>63.733383714793248</v>
      </c>
      <c r="GL157" s="469">
        <v>630.90209050632529</v>
      </c>
      <c r="GM157" s="458"/>
      <c r="GN157" s="464"/>
      <c r="GO157" s="470"/>
      <c r="GP157" s="468"/>
    </row>
    <row r="158" spans="1:198" x14ac:dyDescent="0.25">
      <c r="A158" s="465" t="s">
        <v>1557</v>
      </c>
      <c r="B158" s="461"/>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c r="AA158" s="461"/>
      <c r="AB158" s="461"/>
      <c r="AC158" s="461"/>
      <c r="AD158" s="461"/>
      <c r="AE158" s="461"/>
      <c r="AF158" s="461"/>
      <c r="AG158" s="461"/>
      <c r="AH158" s="461"/>
      <c r="AI158" s="461"/>
      <c r="AJ158" s="461"/>
      <c r="AK158" s="461"/>
      <c r="AL158" s="461"/>
      <c r="AM158" s="461"/>
      <c r="AN158" s="461"/>
      <c r="AO158" s="461"/>
      <c r="AP158" s="461"/>
      <c r="AQ158" s="461"/>
      <c r="AR158" s="461"/>
      <c r="AS158" s="461"/>
      <c r="AT158" s="461"/>
      <c r="AU158" s="461"/>
      <c r="AV158" s="461"/>
      <c r="AW158" s="461"/>
      <c r="AX158" s="461"/>
      <c r="AY158" s="461"/>
      <c r="AZ158" s="461"/>
      <c r="BA158" s="461"/>
      <c r="BB158" s="461"/>
      <c r="BC158" s="461"/>
      <c r="BD158" s="461"/>
      <c r="BE158" s="461"/>
      <c r="BF158" s="461"/>
      <c r="BG158" s="461"/>
      <c r="BH158" s="461"/>
      <c r="BI158" s="461"/>
      <c r="BJ158" s="461"/>
      <c r="BK158" s="480"/>
      <c r="BL158" s="461"/>
      <c r="BM158" s="461"/>
      <c r="BN158" s="461"/>
      <c r="BO158" s="461"/>
      <c r="BP158" s="461"/>
      <c r="BQ158" s="461"/>
      <c r="BR158" s="461"/>
      <c r="BS158" s="461"/>
      <c r="BT158" s="461"/>
      <c r="BU158" s="461"/>
      <c r="BV158" s="461"/>
      <c r="BW158" s="461"/>
      <c r="BX158" s="461"/>
      <c r="BY158" s="461"/>
      <c r="BZ158" s="461"/>
      <c r="CA158" s="461"/>
      <c r="CB158" s="461"/>
      <c r="CC158" s="461"/>
      <c r="CD158" s="461"/>
      <c r="CE158" s="461"/>
      <c r="CF158" s="461"/>
      <c r="CG158" s="461"/>
      <c r="CH158" s="461"/>
      <c r="CI158" s="461"/>
      <c r="CJ158" s="461"/>
      <c r="CK158" s="461"/>
      <c r="CL158" s="461"/>
      <c r="CM158" s="461"/>
      <c r="CN158" s="461"/>
      <c r="CO158" s="461"/>
      <c r="CP158" s="461"/>
      <c r="CQ158" s="461"/>
      <c r="CR158" s="461"/>
      <c r="CS158" s="461"/>
      <c r="CT158" s="461"/>
      <c r="CU158" s="461"/>
      <c r="CV158" s="461"/>
      <c r="CW158" s="461"/>
      <c r="CX158" s="461"/>
      <c r="CY158" s="461"/>
      <c r="CZ158" s="461"/>
      <c r="DA158" s="461"/>
      <c r="DB158" s="461"/>
      <c r="DC158" s="461"/>
      <c r="DD158" s="461"/>
      <c r="DE158" s="461"/>
      <c r="DF158" s="461"/>
      <c r="DG158" s="461"/>
      <c r="DH158" s="461"/>
      <c r="DI158" s="461"/>
      <c r="DJ158" s="461"/>
      <c r="DK158" s="461"/>
      <c r="DL158" s="461"/>
      <c r="DM158" s="461"/>
      <c r="DN158" s="461"/>
      <c r="DO158" s="461"/>
      <c r="DP158" s="461"/>
      <c r="DQ158" s="461"/>
      <c r="DR158" s="461"/>
      <c r="DS158" s="461"/>
      <c r="DT158" s="461"/>
      <c r="DU158" s="461"/>
      <c r="DV158" s="461"/>
      <c r="DW158" s="461"/>
      <c r="DX158" s="461"/>
      <c r="DY158" s="461"/>
      <c r="DZ158" s="461"/>
      <c r="EA158" s="461"/>
      <c r="EB158" s="461"/>
      <c r="EC158" s="461"/>
      <c r="ED158" s="461"/>
      <c r="EE158" s="461"/>
      <c r="EF158" s="461"/>
      <c r="EG158" s="461"/>
      <c r="EH158" s="461"/>
      <c r="EI158" s="461"/>
      <c r="EJ158" s="461"/>
      <c r="EK158" s="461"/>
      <c r="EL158" s="461"/>
      <c r="EM158" s="461"/>
      <c r="EN158" s="461"/>
      <c r="EO158" s="461"/>
      <c r="EP158" s="461"/>
      <c r="EQ158" s="461"/>
      <c r="ER158" s="461"/>
      <c r="ES158" s="461"/>
      <c r="ET158" s="461"/>
      <c r="EU158" s="461"/>
      <c r="EV158" s="461"/>
      <c r="EW158" s="461"/>
      <c r="EX158" s="461"/>
      <c r="EY158" s="461"/>
      <c r="EZ158" s="461"/>
      <c r="FA158" s="461"/>
      <c r="FB158" s="461"/>
      <c r="FC158" s="461"/>
      <c r="FD158" s="461"/>
      <c r="FE158" s="461"/>
      <c r="FF158" s="461"/>
      <c r="FG158" s="461"/>
      <c r="FH158" s="461"/>
      <c r="FI158" s="461"/>
      <c r="FJ158" s="461"/>
      <c r="FK158" s="461"/>
      <c r="FL158" s="461"/>
      <c r="FM158" s="461"/>
      <c r="FN158" s="461"/>
      <c r="FO158" s="461"/>
      <c r="FP158" s="461">
        <v>1.4241960787706462</v>
      </c>
      <c r="FQ158" s="461">
        <v>1.9346007783030146</v>
      </c>
      <c r="FR158" s="461">
        <v>2.5468244266557614</v>
      </c>
      <c r="FS158" s="461">
        <v>3.0029246140119459</v>
      </c>
      <c r="FT158" s="461">
        <v>3.2536032297534554</v>
      </c>
      <c r="FU158" s="461">
        <v>4.3940759011695967</v>
      </c>
      <c r="FV158" s="461">
        <v>4.3265560821955216</v>
      </c>
      <c r="FW158" s="461">
        <v>4.2417808897340477</v>
      </c>
      <c r="FX158" s="461">
        <v>3.3996757033458267</v>
      </c>
      <c r="FY158" s="461">
        <v>4.1371181790214946</v>
      </c>
      <c r="FZ158" s="461"/>
      <c r="GA158" s="461"/>
      <c r="GB158" s="461"/>
      <c r="GC158" s="461"/>
      <c r="GD158" s="469"/>
      <c r="GE158" s="469"/>
      <c r="GF158" s="469"/>
      <c r="GG158" s="469"/>
      <c r="GH158" s="469"/>
      <c r="GI158" s="469"/>
      <c r="GJ158" s="469">
        <v>-0.12582160793149405</v>
      </c>
      <c r="GK158" s="469">
        <v>5.8563733250250971</v>
      </c>
      <c r="GL158" s="469">
        <v>38.391907600054921</v>
      </c>
      <c r="GM158" s="458"/>
      <c r="GN158" s="464"/>
      <c r="GO158" s="470"/>
      <c r="GP158" s="468"/>
    </row>
    <row r="159" spans="1:198" x14ac:dyDescent="0.25">
      <c r="A159" s="465" t="s">
        <v>1556</v>
      </c>
      <c r="B159" s="461">
        <v>8.3842386733120333E-3</v>
      </c>
      <c r="C159" s="461">
        <v>3.9748989430775192E-2</v>
      </c>
      <c r="D159" s="461">
        <v>2.1842258711880875E-3</v>
      </c>
      <c r="E159" s="461">
        <v>4.4247274526157503E-2</v>
      </c>
      <c r="F159" s="461">
        <v>8.8600502814812535E-2</v>
      </c>
      <c r="G159" s="461">
        <v>9.2324967486040227E-4</v>
      </c>
      <c r="H159" s="461">
        <v>1.5016914971065843E-2</v>
      </c>
      <c r="I159" s="461">
        <v>3.0303348665544565E-2</v>
      </c>
      <c r="J159" s="461">
        <v>1.674279342810303E-3</v>
      </c>
      <c r="K159" s="461">
        <v>1.2041547197128438E-2</v>
      </c>
      <c r="L159" s="461">
        <v>1.1702640148769558E-2</v>
      </c>
      <c r="M159" s="461">
        <v>3.5747164509332088E-2</v>
      </c>
      <c r="N159" s="461">
        <v>5.1892791841627206E-2</v>
      </c>
      <c r="O159" s="461">
        <v>6.2162146879960051E-3</v>
      </c>
      <c r="P159" s="461">
        <v>0.21230243552940201</v>
      </c>
      <c r="Q159" s="461">
        <v>2.8849142350146253E-2</v>
      </c>
      <c r="R159" s="461"/>
      <c r="S159" s="461"/>
      <c r="T159" s="461">
        <v>0.25462753350130973</v>
      </c>
      <c r="U159" s="461">
        <v>9.5171503139311178E-2</v>
      </c>
      <c r="V159" s="461">
        <v>1.7047985444893242E-2</v>
      </c>
      <c r="W159" s="461">
        <v>1.9915738678099291E-2</v>
      </c>
      <c r="X159" s="461">
        <v>6.4527658952230796E-2</v>
      </c>
      <c r="Y159" s="461">
        <v>6.5146258960992135E-3</v>
      </c>
      <c r="Z159" s="461">
        <v>6.6149894789786431E-2</v>
      </c>
      <c r="AA159" s="461">
        <v>0.11686010695420737</v>
      </c>
      <c r="AB159" s="461">
        <v>2.850840027480404E-2</v>
      </c>
      <c r="AC159" s="461">
        <v>3.9146933784483919E-3</v>
      </c>
      <c r="AD159" s="461">
        <v>0.16186573524301306</v>
      </c>
      <c r="AE159" s="461">
        <v>4.0184476174794356E-2</v>
      </c>
      <c r="AF159" s="461">
        <v>2.0520087977896024E-2</v>
      </c>
      <c r="AG159" s="461">
        <v>4.9252718549757006E-3</v>
      </c>
      <c r="AH159" s="461">
        <v>4.1434451450661658E-2</v>
      </c>
      <c r="AI159" s="461">
        <v>0.1618669506361716</v>
      </c>
      <c r="AJ159" s="461">
        <v>7.9407078561155697E-2</v>
      </c>
      <c r="AK159" s="461">
        <v>7.2803967317298157E-2</v>
      </c>
      <c r="AL159" s="461">
        <v>6.9264411525092632E-3</v>
      </c>
      <c r="AM159" s="461">
        <v>1.925321414856793E-2</v>
      </c>
      <c r="AN159" s="461">
        <v>0.12430527309843221</v>
      </c>
      <c r="AO159" s="461">
        <v>0.11042304502407299</v>
      </c>
      <c r="AP159" s="461">
        <v>0.21771546066333308</v>
      </c>
      <c r="AQ159" s="461">
        <v>3.4203611997893575E-2</v>
      </c>
      <c r="AR159" s="461">
        <v>6.5791329222335564E-4</v>
      </c>
      <c r="AS159" s="461">
        <v>1.3530476641243924E-2</v>
      </c>
      <c r="AT159" s="461">
        <v>0.12177428977119535</v>
      </c>
      <c r="AU159" s="461">
        <v>0.39842162903662687</v>
      </c>
      <c r="AV159" s="461">
        <v>3.175003760184545E-2</v>
      </c>
      <c r="AW159" s="461">
        <v>7.7293003363966856E-2</v>
      </c>
      <c r="AX159" s="461">
        <v>0.13179130108123893</v>
      </c>
      <c r="AY159" s="461">
        <v>0.38114866765558025</v>
      </c>
      <c r="AZ159" s="461">
        <v>3.4153519158048283E-2</v>
      </c>
      <c r="BA159" s="461">
        <v>0.13425043839961415</v>
      </c>
      <c r="BB159" s="461">
        <v>0.21077907960316664</v>
      </c>
      <c r="BC159" s="461">
        <v>9.1686525062175024E-4</v>
      </c>
      <c r="BD159" s="461">
        <v>2.2556568234501738E-4</v>
      </c>
      <c r="BE159" s="461">
        <v>7.6187874207962872E-2</v>
      </c>
      <c r="BF159" s="461">
        <v>9.5485651991437479E-2</v>
      </c>
      <c r="BG159" s="461">
        <v>0.228461361358066</v>
      </c>
      <c r="BH159" s="461">
        <v>3.709140570438068E-2</v>
      </c>
      <c r="BI159" s="461">
        <v>4.601037319159712E-2</v>
      </c>
      <c r="BJ159" s="461">
        <v>3.7898382139254651E-2</v>
      </c>
      <c r="BK159" s="480">
        <v>5.8768880328486581E-2</v>
      </c>
      <c r="BL159" s="461">
        <v>0.11676464495836686</v>
      </c>
      <c r="BM159" s="461">
        <v>0.24117690354106083</v>
      </c>
      <c r="BN159" s="461">
        <v>3.1044362085855957</v>
      </c>
      <c r="BO159" s="461">
        <v>0.52347930521403196</v>
      </c>
      <c r="BP159" s="461">
        <v>0.71599208069970177</v>
      </c>
      <c r="BQ159" s="461">
        <v>2.5541635382046937</v>
      </c>
      <c r="BR159" s="461">
        <v>0.15693288926078108</v>
      </c>
      <c r="BS159" s="461">
        <v>0.14447793411129303</v>
      </c>
      <c r="BT159" s="461"/>
      <c r="BU159" s="461">
        <v>0.67938607388306815</v>
      </c>
      <c r="BV159" s="461">
        <v>0.38283019113389211</v>
      </c>
      <c r="BW159" s="461">
        <v>0.161150788830454</v>
      </c>
      <c r="BX159" s="461">
        <v>4.4521189580624831</v>
      </c>
      <c r="BY159" s="461">
        <v>2.3511073002713743</v>
      </c>
      <c r="BZ159" s="461">
        <v>0.56673435807871198</v>
      </c>
      <c r="CA159" s="461"/>
      <c r="CB159" s="461"/>
      <c r="CC159" s="461"/>
      <c r="CD159" s="461"/>
      <c r="CE159" s="461"/>
      <c r="CF159" s="461"/>
      <c r="CG159" s="461"/>
      <c r="CH159" s="461"/>
      <c r="CI159" s="461"/>
      <c r="CJ159" s="461"/>
      <c r="CK159" s="461"/>
      <c r="CL159" s="461"/>
      <c r="CM159" s="461"/>
      <c r="CN159" s="461"/>
      <c r="CO159" s="461"/>
      <c r="CP159" s="461"/>
      <c r="CQ159" s="461"/>
      <c r="CR159" s="461"/>
      <c r="CS159" s="461"/>
      <c r="CT159" s="461"/>
      <c r="CU159" s="461"/>
      <c r="CV159" s="461"/>
      <c r="CW159" s="461"/>
      <c r="CX159" s="461"/>
      <c r="CY159" s="461"/>
      <c r="CZ159" s="461"/>
      <c r="DA159" s="461"/>
      <c r="DB159" s="461"/>
      <c r="DC159" s="461"/>
      <c r="DD159" s="461"/>
      <c r="DE159" s="461"/>
      <c r="DF159" s="461"/>
      <c r="DG159" s="461"/>
      <c r="DH159" s="461"/>
      <c r="DI159" s="461"/>
      <c r="DJ159" s="461"/>
      <c r="DK159" s="461"/>
      <c r="DL159" s="461"/>
      <c r="DM159" s="461"/>
      <c r="DN159" s="461"/>
      <c r="DO159" s="461"/>
      <c r="DP159" s="461"/>
      <c r="DQ159" s="461"/>
      <c r="DR159" s="461"/>
      <c r="DS159" s="461"/>
      <c r="DT159" s="461"/>
      <c r="DU159" s="461"/>
      <c r="DV159" s="461"/>
      <c r="DW159" s="461"/>
      <c r="DX159" s="461"/>
      <c r="DY159" s="461"/>
      <c r="DZ159" s="461"/>
      <c r="EA159" s="461"/>
      <c r="EB159" s="461"/>
      <c r="EC159" s="461"/>
      <c r="ED159" s="461"/>
      <c r="EE159" s="461"/>
      <c r="EF159" s="461"/>
      <c r="EG159" s="461"/>
      <c r="EH159" s="461"/>
      <c r="EI159" s="461"/>
      <c r="EJ159" s="461"/>
      <c r="EK159" s="461"/>
      <c r="EL159" s="461"/>
      <c r="EM159" s="461"/>
      <c r="EN159" s="461"/>
      <c r="EO159" s="461"/>
      <c r="EP159" s="461"/>
      <c r="EQ159" s="461"/>
      <c r="ER159" s="461"/>
      <c r="ES159" s="461"/>
      <c r="ET159" s="461"/>
      <c r="EU159" s="461"/>
      <c r="EV159" s="461"/>
      <c r="EW159" s="461"/>
      <c r="EX159" s="461"/>
      <c r="EY159" s="461"/>
      <c r="EZ159" s="461"/>
      <c r="FA159" s="461"/>
      <c r="FB159" s="461"/>
      <c r="FC159" s="461"/>
      <c r="FD159" s="461"/>
      <c r="FE159" s="461"/>
      <c r="FF159" s="461">
        <v>4.1625173173714547</v>
      </c>
      <c r="FG159" s="461"/>
      <c r="FH159" s="461"/>
      <c r="FI159" s="461"/>
      <c r="FJ159" s="461"/>
      <c r="FK159" s="461"/>
      <c r="FL159" s="461"/>
      <c r="FM159" s="461"/>
      <c r="FN159" s="461"/>
      <c r="FO159" s="461"/>
      <c r="FP159" s="461">
        <v>0.13792117780866089</v>
      </c>
      <c r="FQ159" s="461">
        <v>0.13082517323658199</v>
      </c>
      <c r="FR159" s="461">
        <v>0.10951631772714682</v>
      </c>
      <c r="FS159" s="461">
        <v>0.60525616495771584</v>
      </c>
      <c r="FT159" s="461">
        <v>0.24828395996105246</v>
      </c>
      <c r="FU159" s="461">
        <v>1.0706860939290894</v>
      </c>
      <c r="FV159" s="461">
        <v>1.2592350072968703</v>
      </c>
      <c r="FW159" s="461">
        <v>0.32264694874463262</v>
      </c>
      <c r="FX159" s="461">
        <v>0.21572848618616855</v>
      </c>
      <c r="FY159" s="461">
        <v>0.27419475832189028</v>
      </c>
      <c r="FZ159" s="461"/>
      <c r="GA159" s="461"/>
      <c r="GB159" s="461"/>
      <c r="GC159" s="461"/>
      <c r="GD159" s="469"/>
      <c r="GE159" s="469"/>
      <c r="GF159" s="469"/>
      <c r="GG159" s="469"/>
      <c r="GH159" s="469"/>
      <c r="GI159" s="469"/>
      <c r="GJ159" s="469">
        <v>-2.0061761844554153E-2</v>
      </c>
      <c r="GK159" s="469">
        <v>2.7568989033738385</v>
      </c>
      <c r="GL159" s="469">
        <v>31.899904603909846</v>
      </c>
      <c r="GM159" s="458"/>
      <c r="GN159" s="464"/>
      <c r="GO159" s="470"/>
      <c r="GP159" s="468"/>
    </row>
    <row r="160" spans="1:198" x14ac:dyDescent="0.25">
      <c r="A160" s="465" t="s">
        <v>2325</v>
      </c>
      <c r="B160" s="461"/>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c r="AA160" s="461"/>
      <c r="AB160" s="461"/>
      <c r="AC160" s="461"/>
      <c r="AD160" s="461"/>
      <c r="AE160" s="461"/>
      <c r="AF160" s="461"/>
      <c r="AG160" s="461"/>
      <c r="AH160" s="461"/>
      <c r="AI160" s="461"/>
      <c r="AJ160" s="461"/>
      <c r="AK160" s="461"/>
      <c r="AL160" s="461"/>
      <c r="AM160" s="461"/>
      <c r="AN160" s="461"/>
      <c r="AO160" s="461"/>
      <c r="AP160" s="461"/>
      <c r="AQ160" s="461"/>
      <c r="AR160" s="461"/>
      <c r="AS160" s="461"/>
      <c r="AT160" s="461"/>
      <c r="AU160" s="461"/>
      <c r="AV160" s="461"/>
      <c r="AW160" s="461"/>
      <c r="AX160" s="461"/>
      <c r="AY160" s="461"/>
      <c r="AZ160" s="461"/>
      <c r="BA160" s="461"/>
      <c r="BB160" s="461"/>
      <c r="BC160" s="461"/>
      <c r="BD160" s="461"/>
      <c r="BE160" s="461"/>
      <c r="BF160" s="461"/>
      <c r="BG160" s="461"/>
      <c r="BH160" s="461"/>
      <c r="BI160" s="461"/>
      <c r="BJ160" s="461"/>
      <c r="BK160" s="480"/>
      <c r="BL160" s="461"/>
      <c r="BM160" s="461"/>
      <c r="BN160" s="461"/>
      <c r="BO160" s="461"/>
      <c r="BP160" s="461"/>
      <c r="BQ160" s="461"/>
      <c r="BR160" s="461"/>
      <c r="BS160" s="461"/>
      <c r="BT160" s="461"/>
      <c r="BU160" s="461"/>
      <c r="BV160" s="461"/>
      <c r="BW160" s="461"/>
      <c r="BX160" s="461"/>
      <c r="BY160" s="461"/>
      <c r="BZ160" s="461"/>
      <c r="CA160" s="461"/>
      <c r="CB160" s="461"/>
      <c r="CC160" s="461"/>
      <c r="CD160" s="461"/>
      <c r="CE160" s="461"/>
      <c r="CF160" s="461"/>
      <c r="CG160" s="461"/>
      <c r="CH160" s="461"/>
      <c r="CI160" s="461"/>
      <c r="CJ160" s="461"/>
      <c r="CK160" s="461"/>
      <c r="CL160" s="461"/>
      <c r="CM160" s="461"/>
      <c r="CN160" s="461"/>
      <c r="CO160" s="461"/>
      <c r="CP160" s="461"/>
      <c r="CQ160" s="461"/>
      <c r="CR160" s="461"/>
      <c r="CS160" s="461"/>
      <c r="CT160" s="461"/>
      <c r="CU160" s="461"/>
      <c r="CV160" s="461"/>
      <c r="CW160" s="461"/>
      <c r="CX160" s="461"/>
      <c r="CY160" s="461"/>
      <c r="CZ160" s="461"/>
      <c r="DA160" s="461"/>
      <c r="DB160" s="461"/>
      <c r="DC160" s="461"/>
      <c r="DD160" s="461"/>
      <c r="DE160" s="461"/>
      <c r="DF160" s="461"/>
      <c r="DG160" s="461"/>
      <c r="DH160" s="461"/>
      <c r="DI160" s="461"/>
      <c r="DJ160" s="461"/>
      <c r="DK160" s="461"/>
      <c r="DL160" s="461"/>
      <c r="DM160" s="461"/>
      <c r="DN160" s="461"/>
      <c r="DO160" s="461"/>
      <c r="DP160" s="461"/>
      <c r="DQ160" s="461"/>
      <c r="DR160" s="461"/>
      <c r="DS160" s="461"/>
      <c r="DT160" s="461"/>
      <c r="DU160" s="461"/>
      <c r="DV160" s="461"/>
      <c r="DW160" s="461"/>
      <c r="DX160" s="461"/>
      <c r="DY160" s="461"/>
      <c r="DZ160" s="461"/>
      <c r="EA160" s="461"/>
      <c r="EB160" s="461"/>
      <c r="EC160" s="461"/>
      <c r="ED160" s="461"/>
      <c r="EE160" s="461"/>
      <c r="EF160" s="461"/>
      <c r="EG160" s="461"/>
      <c r="EH160" s="461"/>
      <c r="EI160" s="461"/>
      <c r="EJ160" s="461"/>
      <c r="EK160" s="461"/>
      <c r="EL160" s="461"/>
      <c r="EM160" s="461"/>
      <c r="EN160" s="461"/>
      <c r="EO160" s="461"/>
      <c r="EP160" s="461"/>
      <c r="EQ160" s="461"/>
      <c r="ER160" s="461"/>
      <c r="ES160" s="461"/>
      <c r="ET160" s="461"/>
      <c r="EU160" s="461"/>
      <c r="EV160" s="461"/>
      <c r="EW160" s="461"/>
      <c r="EX160" s="461"/>
      <c r="EY160" s="461"/>
      <c r="EZ160" s="461"/>
      <c r="FA160" s="461"/>
      <c r="FB160" s="461"/>
      <c r="FC160" s="461"/>
      <c r="FD160" s="461"/>
      <c r="FE160" s="461"/>
      <c r="FF160" s="461"/>
      <c r="FG160" s="461"/>
      <c r="FH160" s="461"/>
      <c r="FI160" s="461"/>
      <c r="FJ160" s="461"/>
      <c r="FK160" s="461"/>
      <c r="FL160" s="461"/>
      <c r="FM160" s="461"/>
      <c r="FN160" s="461"/>
      <c r="FO160" s="461"/>
      <c r="FP160" s="461">
        <v>1.2452235136793761</v>
      </c>
      <c r="FQ160" s="461">
        <v>2.0616204746869595</v>
      </c>
      <c r="FR160" s="461">
        <v>3.7139217524221242</v>
      </c>
      <c r="FS160" s="461">
        <v>5.5186508070516629</v>
      </c>
      <c r="FT160" s="461">
        <v>6.1374202571496177</v>
      </c>
      <c r="FU160" s="461">
        <v>7.6677358564021389</v>
      </c>
      <c r="FV160" s="461">
        <v>10.722803870358572</v>
      </c>
      <c r="FW160" s="461">
        <v>20.40084502372488</v>
      </c>
      <c r="FX160" s="461">
        <v>22.749327658160006</v>
      </c>
      <c r="FY160" s="461">
        <v>37.088793802172056</v>
      </c>
      <c r="FZ160" s="461"/>
      <c r="GA160" s="461"/>
      <c r="GB160" s="461"/>
      <c r="GC160" s="461"/>
      <c r="GD160" s="469"/>
      <c r="GE160" s="469"/>
      <c r="GF160" s="469"/>
      <c r="GG160" s="469"/>
      <c r="GH160" s="469"/>
      <c r="GI160" s="469"/>
      <c r="GJ160" s="469"/>
      <c r="GK160" s="469"/>
      <c r="GL160" s="469">
        <v>117.30634301580741</v>
      </c>
      <c r="GM160" s="458"/>
      <c r="GN160" s="464"/>
      <c r="GO160" s="470"/>
      <c r="GP160" s="468"/>
    </row>
    <row r="161" spans="1:198" x14ac:dyDescent="0.25">
      <c r="A161" s="465" t="s">
        <v>1555</v>
      </c>
      <c r="B161" s="461"/>
      <c r="C161" s="461"/>
      <c r="D161" s="461"/>
      <c r="E161" s="461"/>
      <c r="F161" s="461"/>
      <c r="G161" s="461"/>
      <c r="H161" s="461"/>
      <c r="I161" s="461"/>
      <c r="J161" s="461"/>
      <c r="K161" s="461"/>
      <c r="L161" s="461"/>
      <c r="M161" s="461"/>
      <c r="N161" s="461"/>
      <c r="O161" s="461"/>
      <c r="P161" s="461">
        <v>22.617712121145637</v>
      </c>
      <c r="Q161" s="461">
        <v>5.3782755013863222</v>
      </c>
      <c r="R161" s="461"/>
      <c r="S161" s="461">
        <v>17.559200344820312</v>
      </c>
      <c r="T161" s="461">
        <v>5.6855291213774777</v>
      </c>
      <c r="U161" s="461">
        <v>10.55466793563402</v>
      </c>
      <c r="V161" s="461">
        <v>0.17574099061195558</v>
      </c>
      <c r="W161" s="461">
        <v>3.4258645928281352E-2</v>
      </c>
      <c r="X161" s="461">
        <v>0.13646965290122015</v>
      </c>
      <c r="Y161" s="461">
        <v>4.2378026665002955E-2</v>
      </c>
      <c r="Z161" s="461">
        <v>0.26351684041533496</v>
      </c>
      <c r="AA161" s="461">
        <v>0.22511007797182483</v>
      </c>
      <c r="AB161" s="461">
        <v>0.10441470655016301</v>
      </c>
      <c r="AC161" s="461">
        <v>1.9069080819636389E-2</v>
      </c>
      <c r="AD161" s="461">
        <v>0.48242218365649758</v>
      </c>
      <c r="AE161" s="461">
        <v>0.12107495289606744</v>
      </c>
      <c r="AF161" s="461">
        <v>3.2809900823245315E-2</v>
      </c>
      <c r="AG161" s="461">
        <v>6.8767375509022075E-3</v>
      </c>
      <c r="AH161" s="461">
        <v>0.11404135641182681</v>
      </c>
      <c r="AI161" s="461">
        <v>0.61769023563563541</v>
      </c>
      <c r="AJ161" s="461">
        <v>0.20506625669379747</v>
      </c>
      <c r="AK161" s="461">
        <v>0.19796057370955061</v>
      </c>
      <c r="AL161" s="461">
        <v>2.7854326539457335E-2</v>
      </c>
      <c r="AM161" s="461">
        <v>5.5120691416278247E-2</v>
      </c>
      <c r="AN161" s="461">
        <v>0.29898400010859638</v>
      </c>
      <c r="AO161" s="461">
        <v>0.61695133711530936</v>
      </c>
      <c r="AP161" s="461">
        <v>0.38738710256877729</v>
      </c>
      <c r="AQ161" s="461">
        <v>0.69341660944667405</v>
      </c>
      <c r="AR161" s="461">
        <v>2.6408899319603669E-3</v>
      </c>
      <c r="AS161" s="461">
        <v>5.4311867473799486E-2</v>
      </c>
      <c r="AT161" s="461">
        <v>0.48880680726419545</v>
      </c>
      <c r="AU161" s="461">
        <v>0.92309879241905202</v>
      </c>
      <c r="AV161" s="461">
        <v>0.10058752694712825</v>
      </c>
      <c r="AW161" s="461">
        <v>0.16357139248306765</v>
      </c>
      <c r="AX161" s="461">
        <v>0.31644209399684892</v>
      </c>
      <c r="AY161" s="461">
        <v>1.2358224636818147</v>
      </c>
      <c r="AZ161" s="461">
        <v>0.27465620638763288</v>
      </c>
      <c r="BA161" s="461">
        <v>0.53309354145351262</v>
      </c>
      <c r="BB161" s="461">
        <v>0.59582908763624853</v>
      </c>
      <c r="BC161" s="461">
        <v>4.1301832642109734E-3</v>
      </c>
      <c r="BD161" s="461">
        <v>1.0161008998541047E-3</v>
      </c>
      <c r="BE161" s="461">
        <v>0.34207541772821876</v>
      </c>
      <c r="BF161" s="461">
        <v>0.19718027312984202</v>
      </c>
      <c r="BG161" s="461">
        <v>1.4494875936212659</v>
      </c>
      <c r="BH161" s="461">
        <v>8.1464251745036881E-2</v>
      </c>
      <c r="BI161" s="461">
        <v>0.15115054577395987</v>
      </c>
      <c r="BJ161" s="461">
        <v>0.18996371879132595</v>
      </c>
      <c r="BK161" s="480"/>
      <c r="BL161" s="461"/>
      <c r="BM161" s="461">
        <v>2.6565220946621695</v>
      </c>
      <c r="BN161" s="461">
        <v>2.687823842292655</v>
      </c>
      <c r="BO161" s="461"/>
      <c r="BP161" s="461">
        <v>0.32726432274674727</v>
      </c>
      <c r="BQ161" s="461">
        <v>1.0951314009587363</v>
      </c>
      <c r="BR161" s="461">
        <v>1.2959616697934929E-2</v>
      </c>
      <c r="BS161" s="461">
        <v>1.1939296049811907E-2</v>
      </c>
      <c r="BT161" s="461"/>
      <c r="BU161" s="461">
        <v>0.39236402906938944</v>
      </c>
      <c r="BV161" s="461"/>
      <c r="BW161" s="461"/>
      <c r="BX161" s="461">
        <v>9.2518432973369276</v>
      </c>
      <c r="BY161" s="461"/>
      <c r="BZ161" s="461">
        <v>5.9377380298487135E-3</v>
      </c>
      <c r="CA161" s="461"/>
      <c r="CB161" s="461"/>
      <c r="CC161" s="461"/>
      <c r="CD161" s="461"/>
      <c r="CE161" s="461"/>
      <c r="CF161" s="461"/>
      <c r="CG161" s="461"/>
      <c r="CH161" s="461"/>
      <c r="CI161" s="461"/>
      <c r="CJ161" s="461"/>
      <c r="CK161" s="461"/>
      <c r="CL161" s="461"/>
      <c r="CM161" s="461"/>
      <c r="CN161" s="461"/>
      <c r="CO161" s="461"/>
      <c r="CP161" s="461"/>
      <c r="CQ161" s="461"/>
      <c r="CR161" s="461"/>
      <c r="CS161" s="461"/>
      <c r="CT161" s="461"/>
      <c r="CU161" s="461"/>
      <c r="CV161" s="461"/>
      <c r="CW161" s="461"/>
      <c r="CX161" s="461"/>
      <c r="CY161" s="461"/>
      <c r="CZ161" s="461"/>
      <c r="DA161" s="461"/>
      <c r="DB161" s="461"/>
      <c r="DC161" s="461"/>
      <c r="DD161" s="461"/>
      <c r="DE161" s="461"/>
      <c r="DF161" s="461"/>
      <c r="DG161" s="461"/>
      <c r="DH161" s="461"/>
      <c r="DI161" s="461"/>
      <c r="DJ161" s="461"/>
      <c r="DK161" s="461"/>
      <c r="DL161" s="461"/>
      <c r="DM161" s="461"/>
      <c r="DN161" s="461"/>
      <c r="DO161" s="461"/>
      <c r="DP161" s="461"/>
      <c r="DQ161" s="461"/>
      <c r="DR161" s="461"/>
      <c r="DS161" s="461"/>
      <c r="DT161" s="461"/>
      <c r="DU161" s="461"/>
      <c r="DV161" s="461"/>
      <c r="DW161" s="461"/>
      <c r="DX161" s="461"/>
      <c r="DY161" s="461"/>
      <c r="DZ161" s="461"/>
      <c r="EA161" s="461"/>
      <c r="EB161" s="461"/>
      <c r="EC161" s="461"/>
      <c r="ED161" s="461"/>
      <c r="EE161" s="461"/>
      <c r="EF161" s="461"/>
      <c r="EG161" s="461"/>
      <c r="EH161" s="461"/>
      <c r="EI161" s="461"/>
      <c r="EJ161" s="461"/>
      <c r="EK161" s="461"/>
      <c r="EL161" s="461"/>
      <c r="EM161" s="461"/>
      <c r="EN161" s="461"/>
      <c r="EO161" s="461"/>
      <c r="EP161" s="461"/>
      <c r="EQ161" s="461"/>
      <c r="ER161" s="461"/>
      <c r="ES161" s="461"/>
      <c r="ET161" s="461"/>
      <c r="EU161" s="461"/>
      <c r="EV161" s="461"/>
      <c r="EW161" s="461"/>
      <c r="EX161" s="461"/>
      <c r="EY161" s="461"/>
      <c r="EZ161" s="461"/>
      <c r="FA161" s="461"/>
      <c r="FB161" s="461"/>
      <c r="FC161" s="461"/>
      <c r="FD161" s="461"/>
      <c r="FE161" s="461"/>
      <c r="FF161" s="461"/>
      <c r="FG161" s="461"/>
      <c r="FH161" s="461"/>
      <c r="FI161" s="461"/>
      <c r="FJ161" s="461"/>
      <c r="FK161" s="461"/>
      <c r="FL161" s="461"/>
      <c r="FM161" s="461"/>
      <c r="FN161" s="461"/>
      <c r="FO161" s="461"/>
      <c r="FP161" s="461">
        <v>0.28205331292783031</v>
      </c>
      <c r="FQ161" s="461">
        <v>0.26811920113811666</v>
      </c>
      <c r="FR161" s="461">
        <v>0.4577463807950396</v>
      </c>
      <c r="FS161" s="461">
        <v>0.69760797318713175</v>
      </c>
      <c r="FT161" s="461">
        <v>0.73187259725783715</v>
      </c>
      <c r="FU161" s="461">
        <v>1.1070206400900289</v>
      </c>
      <c r="FV161" s="461">
        <v>1.6925641729922305</v>
      </c>
      <c r="FW161" s="461">
        <v>2.7323328350737275</v>
      </c>
      <c r="FX161" s="461">
        <v>4.3689881966910873</v>
      </c>
      <c r="FY161" s="461">
        <v>9.7151669122375406</v>
      </c>
      <c r="FZ161" s="461"/>
      <c r="GA161" s="461"/>
      <c r="GB161" s="461"/>
      <c r="GC161" s="461"/>
      <c r="GD161" s="469"/>
      <c r="GE161" s="469"/>
      <c r="GF161" s="469"/>
      <c r="GG161" s="469"/>
      <c r="GH161" s="469"/>
      <c r="GI161" s="469"/>
      <c r="GJ161" s="469">
        <v>-0.24390844571969389</v>
      </c>
      <c r="GK161" s="469">
        <v>2.3500791328399049</v>
      </c>
      <c r="GL161" s="469">
        <v>114.3607566127838</v>
      </c>
      <c r="GM161" s="458"/>
      <c r="GN161" s="464"/>
      <c r="GO161" s="470"/>
      <c r="GP161" s="468"/>
    </row>
    <row r="162" spans="1:198" x14ac:dyDescent="0.25">
      <c r="A162" s="465" t="s">
        <v>1554</v>
      </c>
      <c r="B162" s="461"/>
      <c r="C162" s="461"/>
      <c r="D162" s="461"/>
      <c r="E162" s="461"/>
      <c r="F162" s="461"/>
      <c r="G162" s="461"/>
      <c r="H162" s="461"/>
      <c r="I162" s="461"/>
      <c r="J162" s="461"/>
      <c r="K162" s="461"/>
      <c r="L162" s="461"/>
      <c r="M162" s="461"/>
      <c r="N162" s="461"/>
      <c r="O162" s="461"/>
      <c r="P162" s="461">
        <v>0.10595775251493061</v>
      </c>
      <c r="Q162" s="461">
        <v>1.7450866394911644E-2</v>
      </c>
      <c r="R162" s="461">
        <v>2.9741881958248524E-3</v>
      </c>
      <c r="S162" s="461">
        <v>3.8924073109750885E-2</v>
      </c>
      <c r="T162" s="461">
        <v>2.0486711327279826E-2</v>
      </c>
      <c r="U162" s="461">
        <v>0.17968450221804713</v>
      </c>
      <c r="V162" s="461">
        <v>1.9964856759089877E-2</v>
      </c>
      <c r="W162" s="461">
        <v>9.9192648941773248E-3</v>
      </c>
      <c r="X162" s="461">
        <v>2.4577771245106815E-2</v>
      </c>
      <c r="Y162" s="461">
        <v>3.8641188587824524E-3</v>
      </c>
      <c r="Z162" s="461">
        <v>5.6479693697033921E-2</v>
      </c>
      <c r="AA162" s="461">
        <v>2.9470810353124616E-2</v>
      </c>
      <c r="AB162" s="461"/>
      <c r="AC162" s="461">
        <v>4.5198712305787288E-3</v>
      </c>
      <c r="AD162" s="461">
        <v>0.19028319179598574</v>
      </c>
      <c r="AE162" s="461">
        <v>7.0771171785008729E-4</v>
      </c>
      <c r="AF162" s="461">
        <v>1.108096912458695E-2</v>
      </c>
      <c r="AG162" s="461">
        <v>2.3682963444024898E-3</v>
      </c>
      <c r="AH162" s="461">
        <v>3.3244258599468807E-2</v>
      </c>
      <c r="AI162" s="461">
        <v>0.15455107168227963</v>
      </c>
      <c r="AJ162" s="461">
        <v>8.0191900884258302E-2</v>
      </c>
      <c r="AK162" s="461">
        <v>4.9811845423844578E-2</v>
      </c>
      <c r="AL162" s="461">
        <v>3.4571488139090107E-3</v>
      </c>
      <c r="AM162" s="461">
        <v>3.6953963988470104E-2</v>
      </c>
      <c r="AN162" s="461">
        <v>0.11429215270834471</v>
      </c>
      <c r="AO162" s="461">
        <v>8.3257009376677155E-2</v>
      </c>
      <c r="AP162" s="461">
        <v>0.7172445918510516</v>
      </c>
      <c r="AQ162" s="461">
        <v>3.6509667909631623E-2</v>
      </c>
      <c r="AR162" s="461">
        <v>5.3677712920364442E-4</v>
      </c>
      <c r="AS162" s="461">
        <v>1.1039221268352504E-2</v>
      </c>
      <c r="AT162" s="461">
        <v>9.9352991415172551E-2</v>
      </c>
      <c r="AU162" s="461">
        <v>0.28402439954083841</v>
      </c>
      <c r="AV162" s="461">
        <v>1.6368930664104012E-2</v>
      </c>
      <c r="AW162" s="461">
        <v>4.4195203879326038E-2</v>
      </c>
      <c r="AX162" s="461">
        <v>0.11594712063448008</v>
      </c>
      <c r="AY162" s="461">
        <v>6.9253375653434021E-2</v>
      </c>
      <c r="AZ162" s="461">
        <v>1.7632680631370187E-2</v>
      </c>
      <c r="BA162" s="461">
        <v>8.4648011006368568E-2</v>
      </c>
      <c r="BB162" s="461">
        <v>0.16737872198630119</v>
      </c>
      <c r="BC162" s="461">
        <v>1.348478720629961E-3</v>
      </c>
      <c r="BD162" s="461">
        <v>3.3175051899978457E-4</v>
      </c>
      <c r="BE162" s="461">
        <v>0.11171818326678849</v>
      </c>
      <c r="BF162" s="461">
        <v>15.042269054360666</v>
      </c>
      <c r="BG162" s="461">
        <v>0.33051821068378967</v>
      </c>
      <c r="BH162" s="461">
        <v>2.5854419862480143E-2</v>
      </c>
      <c r="BI162" s="461">
        <v>2.3623261758105366E-2</v>
      </c>
      <c r="BJ162" s="461">
        <v>5.104843342258291E-2</v>
      </c>
      <c r="BK162" s="480">
        <v>0.28605132182282966</v>
      </c>
      <c r="BL162" s="461">
        <v>1.383751965462565E-2</v>
      </c>
      <c r="BM162" s="461">
        <v>0.28855431992233438</v>
      </c>
      <c r="BN162" s="461">
        <v>5.1747387098366735</v>
      </c>
      <c r="BO162" s="461">
        <v>0.15497532996054103</v>
      </c>
      <c r="BP162" s="461">
        <v>9.3038774587118428E-2</v>
      </c>
      <c r="BQ162" s="461">
        <v>0.31124827006262118</v>
      </c>
      <c r="BR162" s="461">
        <v>7.6739194479727461E-3</v>
      </c>
      <c r="BS162" s="461">
        <v>7.069797453006667E-3</v>
      </c>
      <c r="BT162" s="461"/>
      <c r="BU162" s="461">
        <v>0.32273413813657942</v>
      </c>
      <c r="BV162" s="461">
        <v>0.36456286749830191</v>
      </c>
      <c r="BW162" s="461">
        <v>0.36768812289133584</v>
      </c>
      <c r="BX162" s="461">
        <v>216.38513334037896</v>
      </c>
      <c r="BY162" s="461"/>
      <c r="BZ162" s="461">
        <v>1.9433612463673517</v>
      </c>
      <c r="CA162" s="461"/>
      <c r="CB162" s="461"/>
      <c r="CC162" s="461"/>
      <c r="CD162" s="461"/>
      <c r="CE162" s="461"/>
      <c r="CF162" s="461"/>
      <c r="CG162" s="461"/>
      <c r="CH162" s="461"/>
      <c r="CI162" s="461"/>
      <c r="CJ162" s="461"/>
      <c r="CK162" s="461"/>
      <c r="CL162" s="461"/>
      <c r="CM162" s="461"/>
      <c r="CN162" s="461"/>
      <c r="CO162" s="461"/>
      <c r="CP162" s="461"/>
      <c r="CQ162" s="461"/>
      <c r="CR162" s="461"/>
      <c r="CS162" s="461"/>
      <c r="CT162" s="461"/>
      <c r="CU162" s="461"/>
      <c r="CV162" s="461"/>
      <c r="CW162" s="461"/>
      <c r="CX162" s="461"/>
      <c r="CY162" s="461"/>
      <c r="CZ162" s="461"/>
      <c r="DA162" s="461"/>
      <c r="DB162" s="461"/>
      <c r="DC162" s="461"/>
      <c r="DD162" s="461"/>
      <c r="DE162" s="461"/>
      <c r="DF162" s="461"/>
      <c r="DG162" s="461"/>
      <c r="DH162" s="461"/>
      <c r="DI162" s="461"/>
      <c r="DJ162" s="461"/>
      <c r="DK162" s="461"/>
      <c r="DL162" s="461"/>
      <c r="DM162" s="461"/>
      <c r="DN162" s="461"/>
      <c r="DO162" s="461"/>
      <c r="DP162" s="461"/>
      <c r="DQ162" s="461"/>
      <c r="DR162" s="461"/>
      <c r="DS162" s="461"/>
      <c r="DT162" s="461"/>
      <c r="DU162" s="461"/>
      <c r="DV162" s="461"/>
      <c r="DW162" s="461"/>
      <c r="DX162" s="461"/>
      <c r="DY162" s="461"/>
      <c r="DZ162" s="461"/>
      <c r="EA162" s="461"/>
      <c r="EB162" s="461"/>
      <c r="EC162" s="461"/>
      <c r="ED162" s="461"/>
      <c r="EE162" s="461"/>
      <c r="EF162" s="461"/>
      <c r="EG162" s="461"/>
      <c r="EH162" s="461"/>
      <c r="EI162" s="461"/>
      <c r="EJ162" s="461"/>
      <c r="EK162" s="461"/>
      <c r="EL162" s="461"/>
      <c r="EM162" s="461"/>
      <c r="EN162" s="461"/>
      <c r="EO162" s="461"/>
      <c r="EP162" s="461"/>
      <c r="EQ162" s="461"/>
      <c r="ER162" s="461"/>
      <c r="ES162" s="461"/>
      <c r="ET162" s="461"/>
      <c r="EU162" s="461"/>
      <c r="EV162" s="461"/>
      <c r="EW162" s="461"/>
      <c r="EX162" s="461"/>
      <c r="EY162" s="461"/>
      <c r="EZ162" s="461"/>
      <c r="FA162" s="461"/>
      <c r="FB162" s="461"/>
      <c r="FC162" s="461"/>
      <c r="FD162" s="461"/>
      <c r="FE162" s="461"/>
      <c r="FF162" s="461"/>
      <c r="FG162" s="461"/>
      <c r="FH162" s="461"/>
      <c r="FI162" s="461"/>
      <c r="FJ162" s="461"/>
      <c r="FK162" s="461"/>
      <c r="FL162" s="461"/>
      <c r="FM162" s="461"/>
      <c r="FN162" s="461"/>
      <c r="FO162" s="461"/>
      <c r="FP162" s="461">
        <v>3.2914171323223732E-2</v>
      </c>
      <c r="FQ162" s="461">
        <v>6.036600824690861E-2</v>
      </c>
      <c r="FR162" s="461">
        <v>8.712435749129048E-2</v>
      </c>
      <c r="FS162" s="461">
        <v>9.4394709014926984E-2</v>
      </c>
      <c r="FT162" s="461">
        <v>0.12248285287876566</v>
      </c>
      <c r="FU162" s="461">
        <v>0.14036245727472429</v>
      </c>
      <c r="FV162" s="461">
        <v>0.20650027587897121</v>
      </c>
      <c r="FW162" s="461">
        <v>0.35446574203808273</v>
      </c>
      <c r="FX162" s="461">
        <v>0.38402849979300946</v>
      </c>
      <c r="FY162" s="461">
        <v>0.82818014589563671</v>
      </c>
      <c r="FZ162" s="461"/>
      <c r="GA162" s="461"/>
      <c r="GB162" s="461"/>
      <c r="GC162" s="461"/>
      <c r="GD162" s="469"/>
      <c r="GE162" s="469"/>
      <c r="GF162" s="469"/>
      <c r="GG162" s="469"/>
      <c r="GH162" s="469"/>
      <c r="GI162" s="469"/>
      <c r="GJ162" s="469">
        <v>-5.008460084369093E-2</v>
      </c>
      <c r="GK162" s="469">
        <v>1.5054014669593005</v>
      </c>
      <c r="GL162" s="469">
        <v>248.01212125139381</v>
      </c>
      <c r="GM162" s="458"/>
      <c r="GN162" s="464"/>
      <c r="GO162" s="470"/>
      <c r="GP162" s="468"/>
    </row>
    <row r="163" spans="1:198" x14ac:dyDescent="0.25">
      <c r="A163" s="465" t="s">
        <v>1553</v>
      </c>
      <c r="B163" s="461">
        <v>0.27873225086631481</v>
      </c>
      <c r="C163" s="461">
        <v>0.98992810038702528</v>
      </c>
      <c r="D163" s="461">
        <v>4.9174593402581047E-2</v>
      </c>
      <c r="E163" s="461">
        <v>0.35616952668129664</v>
      </c>
      <c r="F163" s="461">
        <v>0.97818308702244894</v>
      </c>
      <c r="G163" s="461">
        <v>0.35371146422692828</v>
      </c>
      <c r="H163" s="461">
        <v>0.35102894389721223</v>
      </c>
      <c r="I163" s="461">
        <v>0.20850326611931735</v>
      </c>
      <c r="J163" s="461">
        <v>3.0513092198303001E-2</v>
      </c>
      <c r="K163" s="461">
        <v>0.23434650091826534</v>
      </c>
      <c r="L163" s="461">
        <v>0.14234323405273569</v>
      </c>
      <c r="M163" s="461">
        <v>3.7286702524470944E-2</v>
      </c>
      <c r="N163" s="461">
        <v>0.64304698376610836</v>
      </c>
      <c r="O163" s="461">
        <v>0.86160288138427443</v>
      </c>
      <c r="P163" s="461">
        <v>4.7962912169730414</v>
      </c>
      <c r="Q163" s="461">
        <v>0.61755459092373821</v>
      </c>
      <c r="R163" s="461">
        <v>0.20457296178222606</v>
      </c>
      <c r="S163" s="461">
        <v>7.7321116525157016</v>
      </c>
      <c r="T163" s="461">
        <v>3.152270562471605</v>
      </c>
      <c r="U163" s="461">
        <v>12.35920136348882</v>
      </c>
      <c r="V163" s="461">
        <v>0.29614511641915842</v>
      </c>
      <c r="W163" s="461">
        <v>0.12393583709316976</v>
      </c>
      <c r="X163" s="461">
        <v>0.23880978567761257</v>
      </c>
      <c r="Y163" s="461">
        <v>7.7037856534347526E-2</v>
      </c>
      <c r="Z163" s="461">
        <v>0.22633619305649516</v>
      </c>
      <c r="AA163" s="461">
        <v>0.27456884316585783</v>
      </c>
      <c r="AB163" s="461">
        <v>6.6202988887588354E-2</v>
      </c>
      <c r="AC163" s="461">
        <v>0.11931543851838028</v>
      </c>
      <c r="AD163" s="461">
        <v>0.76598111638867139</v>
      </c>
      <c r="AE163" s="461">
        <v>5.345164352823701E-2</v>
      </c>
      <c r="AF163" s="461">
        <v>6.9599140170671106E-2</v>
      </c>
      <c r="AG163" s="461">
        <v>2.5653948134789686E-3</v>
      </c>
      <c r="AH163" s="461">
        <v>0.94547664434879553</v>
      </c>
      <c r="AI163" s="461">
        <v>0.80338182042967132</v>
      </c>
      <c r="AJ163" s="461">
        <v>0.70615801204450757</v>
      </c>
      <c r="AK163" s="461">
        <v>0.95015952351192334</v>
      </c>
      <c r="AL163" s="461">
        <v>0.20689822805299429</v>
      </c>
      <c r="AM163" s="461">
        <v>0.21983494716275168</v>
      </c>
      <c r="AN163" s="461">
        <v>1.0087966965539372</v>
      </c>
      <c r="AO163" s="461">
        <v>0.56352123603514415</v>
      </c>
      <c r="AP163" s="461">
        <v>1.0631420571415386</v>
      </c>
      <c r="AQ163" s="461">
        <v>0.32887475494463764</v>
      </c>
      <c r="AR163" s="461">
        <v>3.1210818967996796E-3</v>
      </c>
      <c r="AS163" s="461">
        <v>6.4187372711905555E-2</v>
      </c>
      <c r="AT163" s="461">
        <v>0.5776863544071501</v>
      </c>
      <c r="AU163" s="461">
        <v>2.7337272216194788</v>
      </c>
      <c r="AV163" s="461">
        <v>0.27913466498159234</v>
      </c>
      <c r="AW163" s="461">
        <v>0.81744971973669422</v>
      </c>
      <c r="AX163" s="461">
        <v>0.91759710252429749</v>
      </c>
      <c r="AY163" s="461">
        <v>1.1020977475301934</v>
      </c>
      <c r="AZ163" s="461">
        <v>0.46349708149708529</v>
      </c>
      <c r="BA163" s="461">
        <v>2.0043213551014527</v>
      </c>
      <c r="BB163" s="461">
        <v>2.355692295662883</v>
      </c>
      <c r="BC163" s="461">
        <v>9.1724058837630122E-3</v>
      </c>
      <c r="BD163" s="461">
        <v>2.2565802232262884E-3</v>
      </c>
      <c r="BE163" s="461">
        <v>0.75983105165359144</v>
      </c>
      <c r="BF163" s="461">
        <v>0.99327213051284935</v>
      </c>
      <c r="BG163" s="461">
        <v>1.230759257556826</v>
      </c>
      <c r="BH163" s="461">
        <v>0.21926668006950342</v>
      </c>
      <c r="BI163" s="461">
        <v>0.71521085950570851</v>
      </c>
      <c r="BJ163" s="461">
        <v>0.87819938404323983</v>
      </c>
      <c r="BK163" s="480">
        <v>3.7325848388225471</v>
      </c>
      <c r="BL163" s="461">
        <v>1.4835209422239963</v>
      </c>
      <c r="BM163" s="461">
        <v>8.6720909603070737</v>
      </c>
      <c r="BN163" s="461">
        <v>47.738167636801258</v>
      </c>
      <c r="BO163" s="461">
        <v>2.623148242194377</v>
      </c>
      <c r="BP163" s="461">
        <v>1.8837414100796326</v>
      </c>
      <c r="BQ163" s="461">
        <v>6.3504245330273896</v>
      </c>
      <c r="BR163" s="461">
        <v>0.63039076056772181</v>
      </c>
      <c r="BS163" s="461">
        <v>0.58019109380747236</v>
      </c>
      <c r="BT163" s="461"/>
      <c r="BU163" s="461">
        <v>5.3967934990672495</v>
      </c>
      <c r="BV163" s="461">
        <v>3.3436399366249892</v>
      </c>
      <c r="BW163" s="461">
        <v>283.90677409952758</v>
      </c>
      <c r="BX163" s="461">
        <v>136.97188276909759</v>
      </c>
      <c r="BY163" s="461">
        <v>17.828560874427517</v>
      </c>
      <c r="BZ163" s="461">
        <v>27.891633315624023</v>
      </c>
      <c r="CA163" s="461"/>
      <c r="CB163" s="461"/>
      <c r="CC163" s="461"/>
      <c r="CD163" s="461"/>
      <c r="CE163" s="461"/>
      <c r="CF163" s="461"/>
      <c r="CG163" s="461"/>
      <c r="CH163" s="461"/>
      <c r="CI163" s="461"/>
      <c r="CJ163" s="461"/>
      <c r="CK163" s="461"/>
      <c r="CL163" s="461"/>
      <c r="CM163" s="461"/>
      <c r="CN163" s="461"/>
      <c r="CO163" s="461"/>
      <c r="CP163" s="461"/>
      <c r="CQ163" s="461"/>
      <c r="CR163" s="461"/>
      <c r="CS163" s="461"/>
      <c r="CT163" s="461"/>
      <c r="CU163" s="461"/>
      <c r="CV163" s="461"/>
      <c r="CW163" s="461"/>
      <c r="CX163" s="461"/>
      <c r="CY163" s="461"/>
      <c r="CZ163" s="461"/>
      <c r="DA163" s="461"/>
      <c r="DB163" s="461"/>
      <c r="DC163" s="461"/>
      <c r="DD163" s="461"/>
      <c r="DE163" s="461"/>
      <c r="DF163" s="461"/>
      <c r="DG163" s="461"/>
      <c r="DH163" s="461"/>
      <c r="DI163" s="461"/>
      <c r="DJ163" s="461"/>
      <c r="DK163" s="461"/>
      <c r="DL163" s="461"/>
      <c r="DM163" s="461"/>
      <c r="DN163" s="461"/>
      <c r="DO163" s="461"/>
      <c r="DP163" s="461"/>
      <c r="DQ163" s="461"/>
      <c r="DR163" s="461"/>
      <c r="DS163" s="461"/>
      <c r="DT163" s="461"/>
      <c r="DU163" s="461"/>
      <c r="DV163" s="461"/>
      <c r="DW163" s="461"/>
      <c r="DX163" s="461"/>
      <c r="DY163" s="461"/>
      <c r="DZ163" s="461"/>
      <c r="EA163" s="461"/>
      <c r="EB163" s="461"/>
      <c r="EC163" s="461"/>
      <c r="ED163" s="461"/>
      <c r="EE163" s="461"/>
      <c r="EF163" s="461"/>
      <c r="EG163" s="461"/>
      <c r="EH163" s="461"/>
      <c r="EI163" s="461"/>
      <c r="EJ163" s="461"/>
      <c r="EK163" s="461"/>
      <c r="EL163" s="461"/>
      <c r="EM163" s="461"/>
      <c r="EN163" s="461"/>
      <c r="EO163" s="461"/>
      <c r="EP163" s="461"/>
      <c r="EQ163" s="461"/>
      <c r="ER163" s="461"/>
      <c r="ES163" s="461"/>
      <c r="ET163" s="461"/>
      <c r="EU163" s="461"/>
      <c r="EV163" s="461"/>
      <c r="EW163" s="461"/>
      <c r="EX163" s="461"/>
      <c r="EY163" s="461"/>
      <c r="EZ163" s="461"/>
      <c r="FA163" s="461"/>
      <c r="FB163" s="461"/>
      <c r="FC163" s="461"/>
      <c r="FD163" s="461"/>
      <c r="FE163" s="461"/>
      <c r="FF163" s="461"/>
      <c r="FG163" s="461"/>
      <c r="FH163" s="461"/>
      <c r="FI163" s="461"/>
      <c r="FJ163" s="461"/>
      <c r="FK163" s="461"/>
      <c r="FL163" s="461"/>
      <c r="FM163" s="461"/>
      <c r="FN163" s="461"/>
      <c r="FO163" s="461"/>
      <c r="FP163" s="461">
        <v>1.09518033499031</v>
      </c>
      <c r="FQ163" s="461">
        <v>1.9102181760767141</v>
      </c>
      <c r="FR163" s="461">
        <v>2.8064541117125059</v>
      </c>
      <c r="FS163" s="461">
        <v>3.3310239185156463</v>
      </c>
      <c r="FT163" s="461">
        <v>4.9582352282253046</v>
      </c>
      <c r="FU163" s="461">
        <v>7.2707336497699728</v>
      </c>
      <c r="FV163" s="461">
        <v>11.480440380954294</v>
      </c>
      <c r="FW163" s="461">
        <v>20.773673140722899</v>
      </c>
      <c r="FX163" s="461">
        <v>52.635172574191934</v>
      </c>
      <c r="FY163" s="461">
        <v>120.30105567488361</v>
      </c>
      <c r="FZ163" s="461"/>
      <c r="GA163" s="461"/>
      <c r="GB163" s="461"/>
      <c r="GC163" s="461"/>
      <c r="GD163" s="469"/>
      <c r="GE163" s="469"/>
      <c r="GF163" s="469"/>
      <c r="GG163" s="469"/>
      <c r="GH163" s="469"/>
      <c r="GI163" s="469"/>
      <c r="GJ163" s="469">
        <v>-1.6072636959998239</v>
      </c>
      <c r="GK163" s="469">
        <v>38.578238537011948</v>
      </c>
      <c r="GL163" s="469">
        <v>872.17995354045604</v>
      </c>
      <c r="GM163" s="458"/>
      <c r="GN163" s="464"/>
      <c r="GO163" s="470"/>
      <c r="GP163" s="468"/>
    </row>
    <row r="164" spans="1:198" x14ac:dyDescent="0.25">
      <c r="A164" s="465" t="s">
        <v>1552</v>
      </c>
      <c r="B164" s="461">
        <v>7.6162178646045414E-3</v>
      </c>
      <c r="C164" s="461">
        <v>2.9989093982900526E-2</v>
      </c>
      <c r="D164" s="461">
        <v>1.2854183528669531E-3</v>
      </c>
      <c r="E164" s="461">
        <v>2.1621885710793216E-2</v>
      </c>
      <c r="F164" s="461">
        <v>8.4813995835272868E-2</v>
      </c>
      <c r="G164" s="461">
        <v>2.882842512655949E-2</v>
      </c>
      <c r="H164" s="461">
        <v>1.0445189866439605E-2</v>
      </c>
      <c r="I164" s="461">
        <v>1.3307869343366432E-2</v>
      </c>
      <c r="J164" s="461">
        <v>1.1993547457582697E-3</v>
      </c>
      <c r="K164" s="461">
        <v>1.331233839896138E-2</v>
      </c>
      <c r="L164" s="461">
        <v>3.1371708027276022E-3</v>
      </c>
      <c r="M164" s="461">
        <v>8.2838863278790944E-3</v>
      </c>
      <c r="N164" s="461">
        <v>6.879275580303236E-2</v>
      </c>
      <c r="O164" s="461">
        <v>5.504180878388382E-3</v>
      </c>
      <c r="P164" s="461">
        <v>1.6563798999880834</v>
      </c>
      <c r="Q164" s="461">
        <v>7.2043400180875974</v>
      </c>
      <c r="R164" s="461">
        <v>2.8050751759192076E-2</v>
      </c>
      <c r="S164" s="461">
        <v>5.1795400010615609</v>
      </c>
      <c r="T164" s="461">
        <v>1.7464732789512052</v>
      </c>
      <c r="U164" s="461">
        <v>1.6946760039488959</v>
      </c>
      <c r="V164" s="461">
        <v>0.82873311367595537</v>
      </c>
      <c r="W164" s="461">
        <v>0.43153269463551247</v>
      </c>
      <c r="X164" s="461">
        <v>1.54898962160982</v>
      </c>
      <c r="Y164" s="461">
        <v>0.13505262299221277</v>
      </c>
      <c r="Z164" s="461">
        <v>3.6260722986191927</v>
      </c>
      <c r="AA164" s="461">
        <v>2.8924869414188836</v>
      </c>
      <c r="AB164" s="461">
        <v>0.69445100415285055</v>
      </c>
      <c r="AC164" s="461">
        <v>0.11217481184252276</v>
      </c>
      <c r="AD164" s="461">
        <v>6.8686583424995646</v>
      </c>
      <c r="AE164" s="461">
        <v>0.72917172890353066</v>
      </c>
      <c r="AF164" s="461">
        <v>0.50372695400092482</v>
      </c>
      <c r="AG164" s="461">
        <v>0.13260221368584715</v>
      </c>
      <c r="AH164" s="461">
        <v>1.5838632069355323</v>
      </c>
      <c r="AI164" s="461">
        <v>5.0103747806854999</v>
      </c>
      <c r="AJ164" s="461">
        <v>1.8582291486530782</v>
      </c>
      <c r="AK164" s="461">
        <v>1.8104329528046879</v>
      </c>
      <c r="AL164" s="461">
        <v>0.19098877786457244</v>
      </c>
      <c r="AM164" s="461">
        <v>0.49803788248377995</v>
      </c>
      <c r="AN164" s="461">
        <v>2.9733709942588336</v>
      </c>
      <c r="AO164" s="461">
        <v>6.4956541721653354</v>
      </c>
      <c r="AP164" s="461">
        <v>6.9708173781750764</v>
      </c>
      <c r="AQ164" s="461">
        <v>1.8909148411292322</v>
      </c>
      <c r="AR164" s="461">
        <v>2.3601714366604097E-2</v>
      </c>
      <c r="AS164" s="461">
        <v>0.4853868263574071</v>
      </c>
      <c r="AT164" s="461">
        <v>4.3684814372166647</v>
      </c>
      <c r="AU164" s="461">
        <v>15.973507858372981</v>
      </c>
      <c r="AV164" s="461">
        <v>1.3378261330924719</v>
      </c>
      <c r="AW164" s="461">
        <v>1.8283825020292648</v>
      </c>
      <c r="AX164" s="461">
        <v>2.4599019823147423</v>
      </c>
      <c r="AY164" s="461">
        <v>6.9101192575502424</v>
      </c>
      <c r="AZ164" s="461">
        <v>1.0233257526192172</v>
      </c>
      <c r="BA164" s="461">
        <v>5.1753153687404287</v>
      </c>
      <c r="BB164" s="461">
        <v>5.6080540108553114</v>
      </c>
      <c r="BC164" s="461">
        <v>3.5809890165698771E-2</v>
      </c>
      <c r="BD164" s="461">
        <v>8.8098903349738897E-3</v>
      </c>
      <c r="BE164" s="461">
        <v>2.965302787623231</v>
      </c>
      <c r="BF164" s="461">
        <v>2.1330722060051088</v>
      </c>
      <c r="BG164" s="461">
        <v>8.3229039493963768</v>
      </c>
      <c r="BH164" s="461">
        <v>1.1180489927735642</v>
      </c>
      <c r="BI164" s="461">
        <v>1.8380031864940565</v>
      </c>
      <c r="BJ164" s="461">
        <v>1.6767403171295083</v>
      </c>
      <c r="BK164" s="480">
        <v>6.0314261329327197</v>
      </c>
      <c r="BL164" s="461">
        <v>2.0801056808265779</v>
      </c>
      <c r="BM164" s="461">
        <v>63.850254963584966</v>
      </c>
      <c r="BN164" s="461">
        <v>164.8379438987032</v>
      </c>
      <c r="BO164" s="461">
        <v>12.194124804853201</v>
      </c>
      <c r="BP164" s="461">
        <v>13.168129433547087</v>
      </c>
      <c r="BQ164" s="461">
        <v>46.641728664508214</v>
      </c>
      <c r="BR164" s="461">
        <v>3.621828205276719</v>
      </c>
      <c r="BS164" s="461">
        <v>3.3027409996758283</v>
      </c>
      <c r="BT164" s="461"/>
      <c r="BU164" s="461">
        <v>10.464067028287456</v>
      </c>
      <c r="BV164" s="461">
        <v>71.945168530583686</v>
      </c>
      <c r="BW164" s="461">
        <v>38.785005151587306</v>
      </c>
      <c r="BX164" s="461">
        <v>122.25694108728436</v>
      </c>
      <c r="BY164" s="461">
        <v>104.81178680260497</v>
      </c>
      <c r="BZ164" s="461">
        <v>118.14336855318423</v>
      </c>
      <c r="CA164" s="461"/>
      <c r="CB164" s="461"/>
      <c r="CC164" s="461"/>
      <c r="CD164" s="461"/>
      <c r="CE164" s="461"/>
      <c r="CF164" s="461"/>
      <c r="CG164" s="461"/>
      <c r="CH164" s="461"/>
      <c r="CI164" s="461"/>
      <c r="CJ164" s="461"/>
      <c r="CK164" s="461"/>
      <c r="CL164" s="461"/>
      <c r="CM164" s="461"/>
      <c r="CN164" s="461"/>
      <c r="CO164" s="461"/>
      <c r="CP164" s="461"/>
      <c r="CQ164" s="461"/>
      <c r="CR164" s="461"/>
      <c r="CS164" s="461"/>
      <c r="CT164" s="461"/>
      <c r="CU164" s="461"/>
      <c r="CV164" s="461"/>
      <c r="CW164" s="461"/>
      <c r="CX164" s="461"/>
      <c r="CY164" s="461"/>
      <c r="CZ164" s="461"/>
      <c r="DA164" s="461"/>
      <c r="DB164" s="461"/>
      <c r="DC164" s="461"/>
      <c r="DD164" s="461"/>
      <c r="DE164" s="461"/>
      <c r="DF164" s="461"/>
      <c r="DG164" s="461"/>
      <c r="DH164" s="461"/>
      <c r="DI164" s="461"/>
      <c r="DJ164" s="461"/>
      <c r="DK164" s="461"/>
      <c r="DL164" s="461"/>
      <c r="DM164" s="461"/>
      <c r="DN164" s="461"/>
      <c r="DO164" s="461"/>
      <c r="DP164" s="461"/>
      <c r="DQ164" s="461"/>
      <c r="DR164" s="461"/>
      <c r="DS164" s="461"/>
      <c r="DT164" s="461"/>
      <c r="DU164" s="461"/>
      <c r="DV164" s="461"/>
      <c r="DW164" s="461"/>
      <c r="DX164" s="461"/>
      <c r="DY164" s="461"/>
      <c r="DZ164" s="461"/>
      <c r="EA164" s="461"/>
      <c r="EB164" s="461"/>
      <c r="EC164" s="461"/>
      <c r="ED164" s="461"/>
      <c r="EE164" s="461"/>
      <c r="EF164" s="461"/>
      <c r="EG164" s="461"/>
      <c r="EH164" s="461"/>
      <c r="EI164" s="461"/>
      <c r="EJ164" s="461"/>
      <c r="EK164" s="461"/>
      <c r="EL164" s="461"/>
      <c r="EM164" s="461"/>
      <c r="EN164" s="461"/>
      <c r="EO164" s="461"/>
      <c r="EP164" s="461"/>
      <c r="EQ164" s="461"/>
      <c r="ER164" s="461"/>
      <c r="ES164" s="461"/>
      <c r="ET164" s="461"/>
      <c r="EU164" s="461"/>
      <c r="EV164" s="461"/>
      <c r="EW164" s="461"/>
      <c r="EX164" s="461"/>
      <c r="EY164" s="461"/>
      <c r="EZ164" s="461"/>
      <c r="FA164" s="461"/>
      <c r="FB164" s="461"/>
      <c r="FC164" s="461"/>
      <c r="FD164" s="461"/>
      <c r="FE164" s="461"/>
      <c r="FF164" s="461"/>
      <c r="FG164" s="461"/>
      <c r="FH164" s="461"/>
      <c r="FI164" s="461"/>
      <c r="FJ164" s="461"/>
      <c r="FK164" s="461"/>
      <c r="FL164" s="461"/>
      <c r="FM164" s="461"/>
      <c r="FN164" s="461"/>
      <c r="FO164" s="461"/>
      <c r="FP164" s="461">
        <v>5.8547943405162313</v>
      </c>
      <c r="FQ164" s="461">
        <v>8.9644816227255806</v>
      </c>
      <c r="FR164" s="461">
        <v>12.068600055730636</v>
      </c>
      <c r="FS164" s="461">
        <v>15.033571607370302</v>
      </c>
      <c r="FT164" s="461">
        <v>19.082553856027488</v>
      </c>
      <c r="FU164" s="461">
        <v>25.126753413551242</v>
      </c>
      <c r="FV164" s="461">
        <v>34.431936633649769</v>
      </c>
      <c r="FW164" s="461">
        <v>58.039482997353822</v>
      </c>
      <c r="FX164" s="461">
        <v>107.01062865687297</v>
      </c>
      <c r="FY164" s="461">
        <v>235.74329903015177</v>
      </c>
      <c r="FZ164" s="461"/>
      <c r="GA164" s="461"/>
      <c r="GB164" s="461"/>
      <c r="GC164" s="461"/>
      <c r="GD164" s="469"/>
      <c r="GE164" s="469"/>
      <c r="GF164" s="469"/>
      <c r="GG164" s="469"/>
      <c r="GH164" s="469">
        <v>61.927692682741373</v>
      </c>
      <c r="GI164" s="469">
        <v>2.2098411293056404</v>
      </c>
      <c r="GJ164" s="469">
        <v>15.653139072534204</v>
      </c>
      <c r="GK164" s="469">
        <v>55.466433283503605</v>
      </c>
      <c r="GL164" s="469">
        <v>1567.6343566029416</v>
      </c>
      <c r="GM164" s="458"/>
      <c r="GN164" s="464"/>
      <c r="GO164" s="470"/>
      <c r="GP164" s="468"/>
    </row>
    <row r="165" spans="1:198" x14ac:dyDescent="0.25">
      <c r="A165" s="465" t="s">
        <v>1551</v>
      </c>
      <c r="B165" s="461"/>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c r="AA165" s="461"/>
      <c r="AB165" s="461"/>
      <c r="AC165" s="461"/>
      <c r="AD165" s="461"/>
      <c r="AE165" s="461"/>
      <c r="AF165" s="461"/>
      <c r="AG165" s="461"/>
      <c r="AH165" s="461"/>
      <c r="AI165" s="461"/>
      <c r="AJ165" s="461"/>
      <c r="AK165" s="461"/>
      <c r="AL165" s="461"/>
      <c r="AM165" s="461"/>
      <c r="AN165" s="461"/>
      <c r="AO165" s="461"/>
      <c r="AP165" s="461"/>
      <c r="AQ165" s="461"/>
      <c r="AR165" s="461"/>
      <c r="AS165" s="461"/>
      <c r="AT165" s="461"/>
      <c r="AU165" s="461"/>
      <c r="AV165" s="461"/>
      <c r="AW165" s="461"/>
      <c r="AX165" s="461"/>
      <c r="AY165" s="461"/>
      <c r="AZ165" s="461"/>
      <c r="BA165" s="461"/>
      <c r="BB165" s="461"/>
      <c r="BC165" s="461"/>
      <c r="BD165" s="461"/>
      <c r="BE165" s="461"/>
      <c r="BF165" s="461"/>
      <c r="BG165" s="461"/>
      <c r="BH165" s="461"/>
      <c r="BI165" s="461"/>
      <c r="BJ165" s="461"/>
      <c r="BK165" s="480"/>
      <c r="BL165" s="461"/>
      <c r="BM165" s="461"/>
      <c r="BN165" s="461"/>
      <c r="BO165" s="461"/>
      <c r="BP165" s="461">
        <v>0.25055543748573555</v>
      </c>
      <c r="BQ165" s="461">
        <v>0.83877665042282978</v>
      </c>
      <c r="BR165" s="461">
        <v>4.6152222656428273E-2</v>
      </c>
      <c r="BS165" s="461">
        <v>4.2516464621202475E-2</v>
      </c>
      <c r="BT165" s="461"/>
      <c r="BU165" s="461">
        <v>0.18612263965574805</v>
      </c>
      <c r="BV165" s="461">
        <v>6.434677697329029E-2</v>
      </c>
      <c r="BW165" s="461">
        <v>0.15889754328027908</v>
      </c>
      <c r="BX165" s="461">
        <v>2.3705637525495686</v>
      </c>
      <c r="BY165" s="461">
        <v>98.547180394650326</v>
      </c>
      <c r="BZ165" s="461">
        <v>9.8573774829720211</v>
      </c>
      <c r="CA165" s="461"/>
      <c r="CB165" s="461"/>
      <c r="CC165" s="461"/>
      <c r="CD165" s="461"/>
      <c r="CE165" s="461"/>
      <c r="CF165" s="461"/>
      <c r="CG165" s="461"/>
      <c r="CH165" s="461"/>
      <c r="CI165" s="461"/>
      <c r="CJ165" s="461"/>
      <c r="CK165" s="461"/>
      <c r="CL165" s="461"/>
      <c r="CM165" s="461"/>
      <c r="CN165" s="461"/>
      <c r="CO165" s="461"/>
      <c r="CP165" s="461"/>
      <c r="CQ165" s="461"/>
      <c r="CR165" s="461"/>
      <c r="CS165" s="461"/>
      <c r="CT165" s="461"/>
      <c r="CU165" s="461"/>
      <c r="CV165" s="461"/>
      <c r="CW165" s="461"/>
      <c r="CX165" s="461"/>
      <c r="CY165" s="461"/>
      <c r="CZ165" s="461"/>
      <c r="DA165" s="461"/>
      <c r="DB165" s="461"/>
      <c r="DC165" s="461"/>
      <c r="DD165" s="461"/>
      <c r="DE165" s="461"/>
      <c r="DF165" s="461"/>
      <c r="DG165" s="461"/>
      <c r="DH165" s="461"/>
      <c r="DI165" s="461"/>
      <c r="DJ165" s="461"/>
      <c r="DK165" s="461"/>
      <c r="DL165" s="461"/>
      <c r="DM165" s="461"/>
      <c r="DN165" s="461"/>
      <c r="DO165" s="461"/>
      <c r="DP165" s="461"/>
      <c r="DQ165" s="461"/>
      <c r="DR165" s="461"/>
      <c r="DS165" s="461"/>
      <c r="DT165" s="461"/>
      <c r="DU165" s="461"/>
      <c r="DV165" s="461"/>
      <c r="DW165" s="461"/>
      <c r="DX165" s="461"/>
      <c r="DY165" s="461"/>
      <c r="DZ165" s="461"/>
      <c r="EA165" s="461"/>
      <c r="EB165" s="461"/>
      <c r="EC165" s="461"/>
      <c r="ED165" s="461"/>
      <c r="EE165" s="461"/>
      <c r="EF165" s="461"/>
      <c r="EG165" s="461"/>
      <c r="EH165" s="461"/>
      <c r="EI165" s="461"/>
      <c r="EJ165" s="461"/>
      <c r="EK165" s="461"/>
      <c r="EL165" s="461"/>
      <c r="EM165" s="461"/>
      <c r="EN165" s="461"/>
      <c r="EO165" s="461"/>
      <c r="EP165" s="461"/>
      <c r="EQ165" s="461"/>
      <c r="ER165" s="461"/>
      <c r="ES165" s="461"/>
      <c r="ET165" s="461"/>
      <c r="EU165" s="461"/>
      <c r="EV165" s="461"/>
      <c r="EW165" s="461"/>
      <c r="EX165" s="461"/>
      <c r="EY165" s="461"/>
      <c r="EZ165" s="461"/>
      <c r="FA165" s="461"/>
      <c r="FB165" s="461"/>
      <c r="FC165" s="461"/>
      <c r="FD165" s="461"/>
      <c r="FE165" s="461"/>
      <c r="FF165" s="461"/>
      <c r="FG165" s="461"/>
      <c r="FH165" s="461"/>
      <c r="FI165" s="461"/>
      <c r="FJ165" s="461"/>
      <c r="FK165" s="461"/>
      <c r="FL165" s="461"/>
      <c r="FM165" s="461"/>
      <c r="FN165" s="461"/>
      <c r="FO165" s="461"/>
      <c r="FP165" s="461">
        <v>0.15722650079579722</v>
      </c>
      <c r="FQ165" s="461">
        <v>0.31714508739913716</v>
      </c>
      <c r="FR165" s="461">
        <v>0.49497154762142859</v>
      </c>
      <c r="FS165" s="461">
        <v>0.73660827553731989</v>
      </c>
      <c r="FT165" s="461">
        <v>1.3243139509329984</v>
      </c>
      <c r="FU165" s="461">
        <v>1.5353954777493997</v>
      </c>
      <c r="FV165" s="461">
        <v>2.4747534649709713</v>
      </c>
      <c r="FW165" s="461">
        <v>4.2228313086902327</v>
      </c>
      <c r="FX165" s="461">
        <v>9.1199211902473447</v>
      </c>
      <c r="FY165" s="461">
        <v>19.989206788933554</v>
      </c>
      <c r="FZ165" s="461">
        <v>1080.4344776823432</v>
      </c>
      <c r="GA165" s="461"/>
      <c r="GB165" s="461"/>
      <c r="GC165" s="461"/>
      <c r="GD165" s="469"/>
      <c r="GE165" s="469"/>
      <c r="GF165" s="469"/>
      <c r="GG165" s="469"/>
      <c r="GH165" s="469"/>
      <c r="GI165" s="469"/>
      <c r="GJ165" s="469">
        <v>-0.90659104657316014</v>
      </c>
      <c r="GK165" s="469">
        <v>1.5372403230768745</v>
      </c>
      <c r="GL165" s="469">
        <v>1233.7999899169927</v>
      </c>
      <c r="GM165" s="458"/>
      <c r="GN165" s="471"/>
      <c r="GO165" s="470"/>
      <c r="GP165" s="468"/>
    </row>
    <row r="166" spans="1:198" x14ac:dyDescent="0.25">
      <c r="A166" s="465" t="s">
        <v>1550</v>
      </c>
      <c r="B166" s="461">
        <v>7.6300933580331021E-2</v>
      </c>
      <c r="C166" s="461">
        <v>0.26238181518551545</v>
      </c>
      <c r="D166" s="461">
        <v>3.5033629863998772E-2</v>
      </c>
      <c r="E166" s="461">
        <v>0.25725891097924186</v>
      </c>
      <c r="F166" s="461">
        <v>0.79024843369297382</v>
      </c>
      <c r="G166" s="461">
        <v>0.25452376212675887</v>
      </c>
      <c r="H166" s="461">
        <v>9.9626674564259388E-2</v>
      </c>
      <c r="I166" s="461">
        <v>0.13617647936959074</v>
      </c>
      <c r="J166" s="461">
        <v>2.2432155091710454E-2</v>
      </c>
      <c r="K166" s="461">
        <v>0.12392447425541803</v>
      </c>
      <c r="L166" s="461">
        <v>5.0876892471339877E-2</v>
      </c>
      <c r="M166" s="461">
        <v>6.9594689250663894E-2</v>
      </c>
      <c r="N166" s="461">
        <v>0.65107082109567116</v>
      </c>
      <c r="O166" s="461">
        <v>0.1723837164860865</v>
      </c>
      <c r="P166" s="461">
        <v>0.97485263000037403</v>
      </c>
      <c r="Q166" s="461">
        <v>2.4586058016111667</v>
      </c>
      <c r="R166" s="461">
        <v>1.7975468549174721E-2</v>
      </c>
      <c r="S166" s="461">
        <v>1.5400716442950033</v>
      </c>
      <c r="T166" s="461">
        <v>1.155766188624419</v>
      </c>
      <c r="U166" s="461">
        <v>1.0859814193764721</v>
      </c>
      <c r="V166" s="461">
        <v>5.2243237240103024</v>
      </c>
      <c r="W166" s="461">
        <v>2.3719630413373207</v>
      </c>
      <c r="X166" s="461">
        <v>2.980527013372634</v>
      </c>
      <c r="Y166" s="461">
        <v>0.10475882167238973</v>
      </c>
      <c r="Z166" s="461">
        <v>0.66019960204597816</v>
      </c>
      <c r="AA166" s="461">
        <v>0.77323493603729498</v>
      </c>
      <c r="AB166" s="461">
        <v>0.34934271601727462</v>
      </c>
      <c r="AC166" s="461">
        <v>3.1792351303817697E-2</v>
      </c>
      <c r="AD166" s="461">
        <v>5.4532901784741616</v>
      </c>
      <c r="AE166" s="461">
        <v>1.4649703257470097</v>
      </c>
      <c r="AF166" s="461">
        <v>0.16234765164995307</v>
      </c>
      <c r="AG166" s="461">
        <v>1.573968743366046E-2</v>
      </c>
      <c r="AH166" s="461">
        <v>0.57848944187343798</v>
      </c>
      <c r="AI166" s="461">
        <v>4.4446168313083732</v>
      </c>
      <c r="AJ166" s="461">
        <v>1.7165387123063323</v>
      </c>
      <c r="AK166" s="461">
        <v>7.4728661285328455</v>
      </c>
      <c r="AL166" s="461">
        <v>1.817490421597125</v>
      </c>
      <c r="AM166" s="461">
        <v>0.24594507362292145</v>
      </c>
      <c r="AN166" s="461">
        <v>2.9251310344606716</v>
      </c>
      <c r="AO166" s="461">
        <v>5.0730970626853855</v>
      </c>
      <c r="AP166" s="461">
        <v>2.6208059651437963</v>
      </c>
      <c r="AQ166" s="461">
        <v>0.80424729221760927</v>
      </c>
      <c r="AR166" s="461">
        <v>1.1614105809843355E-2</v>
      </c>
      <c r="AS166" s="461">
        <v>0.23885273215557989</v>
      </c>
      <c r="AT166" s="461">
        <v>2.1496745894002194</v>
      </c>
      <c r="AU166" s="461">
        <v>4.3051643222214864</v>
      </c>
      <c r="AV166" s="461">
        <v>0.29138051355260813</v>
      </c>
      <c r="AW166" s="461">
        <v>1.1040787361821418</v>
      </c>
      <c r="AX166" s="461">
        <v>1.2355269579281023</v>
      </c>
      <c r="AY166" s="461">
        <v>5.8172430172244951</v>
      </c>
      <c r="AZ166" s="461">
        <v>1.1249174298656093</v>
      </c>
      <c r="BA166" s="461">
        <v>1.9420849362343531</v>
      </c>
      <c r="BB166" s="461">
        <v>2.4609766561895197</v>
      </c>
      <c r="BC166" s="461">
        <v>3.45681571033098E-2</v>
      </c>
      <c r="BD166" s="461">
        <v>8.5044012074077628E-3</v>
      </c>
      <c r="BE166" s="461">
        <v>2.8625119778603652</v>
      </c>
      <c r="BF166" s="461">
        <v>0.83607754277990909</v>
      </c>
      <c r="BG166" s="461">
        <v>5.1658448961614516</v>
      </c>
      <c r="BH166" s="461">
        <v>0.84048130002178412</v>
      </c>
      <c r="BI166" s="461">
        <v>0.81031623259433683</v>
      </c>
      <c r="BJ166" s="461">
        <v>2.6643489133304881</v>
      </c>
      <c r="BK166" s="480">
        <v>0.30669795375336584</v>
      </c>
      <c r="BL166" s="461">
        <v>0.38851080439177443</v>
      </c>
      <c r="BM166" s="461">
        <v>64.423913954794799</v>
      </c>
      <c r="BN166" s="461">
        <v>122.70185903731446</v>
      </c>
      <c r="BO166" s="461">
        <v>19.981854107607248</v>
      </c>
      <c r="BP166" s="461">
        <v>13.455101709591609</v>
      </c>
      <c r="BQ166" s="461">
        <v>47.715798741532645</v>
      </c>
      <c r="BR166" s="461">
        <v>0.26521334552324566</v>
      </c>
      <c r="BS166" s="461">
        <v>0.2442382944934775</v>
      </c>
      <c r="BT166" s="461"/>
      <c r="BU166" s="461">
        <v>1.7971981179627516</v>
      </c>
      <c r="BV166" s="461">
        <v>2.87792753390627</v>
      </c>
      <c r="BW166" s="461">
        <v>77.123214556840466</v>
      </c>
      <c r="BX166" s="461">
        <v>72.204417274006076</v>
      </c>
      <c r="BY166" s="461">
        <v>21.521828255405527</v>
      </c>
      <c r="BZ166" s="461">
        <v>14.525176163889498</v>
      </c>
      <c r="CA166" s="461"/>
      <c r="CB166" s="461"/>
      <c r="CC166" s="461"/>
      <c r="CD166" s="461"/>
      <c r="CE166" s="461"/>
      <c r="CF166" s="461"/>
      <c r="CG166" s="461"/>
      <c r="CH166" s="461"/>
      <c r="CI166" s="461"/>
      <c r="CJ166" s="461"/>
      <c r="CK166" s="461"/>
      <c r="CL166" s="461"/>
      <c r="CM166" s="461"/>
      <c r="CN166" s="461"/>
      <c r="CO166" s="461"/>
      <c r="CP166" s="461"/>
      <c r="CQ166" s="461"/>
      <c r="CR166" s="461"/>
      <c r="CS166" s="461"/>
      <c r="CT166" s="461"/>
      <c r="CU166" s="461"/>
      <c r="CV166" s="461"/>
      <c r="CW166" s="461"/>
      <c r="CX166" s="461"/>
      <c r="CY166" s="461"/>
      <c r="CZ166" s="461"/>
      <c r="DA166" s="461"/>
      <c r="DB166" s="461"/>
      <c r="DC166" s="461"/>
      <c r="DD166" s="461"/>
      <c r="DE166" s="461"/>
      <c r="DF166" s="461"/>
      <c r="DG166" s="461"/>
      <c r="DH166" s="461"/>
      <c r="DI166" s="461"/>
      <c r="DJ166" s="461"/>
      <c r="DK166" s="461"/>
      <c r="DL166" s="461"/>
      <c r="DM166" s="461"/>
      <c r="DN166" s="461"/>
      <c r="DO166" s="461"/>
      <c r="DP166" s="461"/>
      <c r="DQ166" s="461"/>
      <c r="DR166" s="461"/>
      <c r="DS166" s="461"/>
      <c r="DT166" s="461"/>
      <c r="DU166" s="461"/>
      <c r="DV166" s="461"/>
      <c r="DW166" s="461"/>
      <c r="DX166" s="461"/>
      <c r="DY166" s="461"/>
      <c r="DZ166" s="461"/>
      <c r="EA166" s="461"/>
      <c r="EB166" s="461"/>
      <c r="EC166" s="461"/>
      <c r="ED166" s="461"/>
      <c r="EE166" s="461"/>
      <c r="EF166" s="461"/>
      <c r="EG166" s="461"/>
      <c r="EH166" s="461"/>
      <c r="EI166" s="461"/>
      <c r="EJ166" s="461"/>
      <c r="EK166" s="461"/>
      <c r="EL166" s="461"/>
      <c r="EM166" s="461"/>
      <c r="EN166" s="461"/>
      <c r="EO166" s="461"/>
      <c r="EP166" s="461"/>
      <c r="EQ166" s="461"/>
      <c r="ER166" s="461"/>
      <c r="ES166" s="461"/>
      <c r="ET166" s="461"/>
      <c r="EU166" s="461"/>
      <c r="EV166" s="461"/>
      <c r="EW166" s="461"/>
      <c r="EX166" s="461"/>
      <c r="EY166" s="461"/>
      <c r="EZ166" s="461"/>
      <c r="FA166" s="461"/>
      <c r="FB166" s="461"/>
      <c r="FC166" s="461"/>
      <c r="FD166" s="461"/>
      <c r="FE166" s="461"/>
      <c r="FF166" s="461"/>
      <c r="FG166" s="461"/>
      <c r="FH166" s="461"/>
      <c r="FI166" s="461"/>
      <c r="FJ166" s="461"/>
      <c r="FK166" s="461"/>
      <c r="FL166" s="461"/>
      <c r="FM166" s="461"/>
      <c r="FN166" s="461"/>
      <c r="FO166" s="461"/>
      <c r="FP166" s="461">
        <v>4.2447184782041303</v>
      </c>
      <c r="FQ166" s="461">
        <v>7.7293218332846969</v>
      </c>
      <c r="FR166" s="461">
        <v>9.7772466786992762</v>
      </c>
      <c r="FS166" s="461">
        <v>10.921115172670884</v>
      </c>
      <c r="FT166" s="461">
        <v>13.08811264702015</v>
      </c>
      <c r="FU166" s="461">
        <v>17.110699084003127</v>
      </c>
      <c r="FV166" s="461">
        <v>23.141202324973431</v>
      </c>
      <c r="FW166" s="461">
        <v>36.312094377722666</v>
      </c>
      <c r="FX166" s="461">
        <v>77.837637065660203</v>
      </c>
      <c r="FY166" s="461">
        <v>161.65027738506237</v>
      </c>
      <c r="FZ166" s="461"/>
      <c r="GA166" s="461"/>
      <c r="GB166" s="461"/>
      <c r="GC166" s="461"/>
      <c r="GD166" s="469"/>
      <c r="GE166" s="469"/>
      <c r="GF166" s="469"/>
      <c r="GG166" s="469"/>
      <c r="GH166" s="469"/>
      <c r="GI166" s="469"/>
      <c r="GJ166" s="469">
        <v>-1.2882000978383519</v>
      </c>
      <c r="GK166" s="469">
        <v>32.641959779127859</v>
      </c>
      <c r="GL166" s="469">
        <v>944.13010655074709</v>
      </c>
      <c r="GM166" s="458"/>
      <c r="GN166" s="464"/>
      <c r="GO166" s="470"/>
      <c r="GP166" s="468"/>
    </row>
    <row r="167" spans="1:198" x14ac:dyDescent="0.25">
      <c r="A167" s="465" t="s">
        <v>1549</v>
      </c>
      <c r="B167" s="461"/>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c r="AA167" s="461"/>
      <c r="AB167" s="461"/>
      <c r="AC167" s="461"/>
      <c r="AD167" s="461"/>
      <c r="AE167" s="461"/>
      <c r="AF167" s="461"/>
      <c r="AG167" s="461"/>
      <c r="AH167" s="461"/>
      <c r="AI167" s="461"/>
      <c r="AJ167" s="461"/>
      <c r="AK167" s="461"/>
      <c r="AL167" s="461"/>
      <c r="AM167" s="461"/>
      <c r="AN167" s="461"/>
      <c r="AO167" s="461"/>
      <c r="AP167" s="461"/>
      <c r="AQ167" s="461"/>
      <c r="AR167" s="461"/>
      <c r="AS167" s="461"/>
      <c r="AT167" s="461"/>
      <c r="AU167" s="461"/>
      <c r="AV167" s="461"/>
      <c r="AW167" s="461"/>
      <c r="AX167" s="461"/>
      <c r="AY167" s="461"/>
      <c r="AZ167" s="461"/>
      <c r="BA167" s="461"/>
      <c r="BB167" s="461"/>
      <c r="BC167" s="461"/>
      <c r="BD167" s="461"/>
      <c r="BE167" s="461"/>
      <c r="BF167" s="461"/>
      <c r="BG167" s="461"/>
      <c r="BH167" s="461"/>
      <c r="BI167" s="461"/>
      <c r="BJ167" s="461"/>
      <c r="BK167" s="480">
        <v>4.6610433819444532</v>
      </c>
      <c r="BL167" s="461"/>
      <c r="BM167" s="461"/>
      <c r="BN167" s="461"/>
      <c r="BO167" s="461"/>
      <c r="BP167" s="461"/>
      <c r="BQ167" s="461"/>
      <c r="BR167" s="461"/>
      <c r="BS167" s="461"/>
      <c r="BT167" s="461"/>
      <c r="BU167" s="461"/>
      <c r="BV167" s="461"/>
      <c r="BW167" s="461"/>
      <c r="BX167" s="461"/>
      <c r="BY167" s="461"/>
      <c r="BZ167" s="461"/>
      <c r="CA167" s="461"/>
      <c r="CB167" s="461"/>
      <c r="CC167" s="461"/>
      <c r="CD167" s="461"/>
      <c r="CE167" s="461"/>
      <c r="CF167" s="461"/>
      <c r="CG167" s="461"/>
      <c r="CH167" s="461"/>
      <c r="CI167" s="461"/>
      <c r="CJ167" s="461"/>
      <c r="CK167" s="461"/>
      <c r="CL167" s="461"/>
      <c r="CM167" s="461"/>
      <c r="CN167" s="461"/>
      <c r="CO167" s="461"/>
      <c r="CP167" s="461"/>
      <c r="CQ167" s="461"/>
      <c r="CR167" s="461"/>
      <c r="CS167" s="461"/>
      <c r="CT167" s="461"/>
      <c r="CU167" s="461"/>
      <c r="CV167" s="461"/>
      <c r="CW167" s="461"/>
      <c r="CX167" s="461"/>
      <c r="CY167" s="461"/>
      <c r="CZ167" s="461"/>
      <c r="DA167" s="461"/>
      <c r="DB167" s="461"/>
      <c r="DC167" s="461"/>
      <c r="DD167" s="461"/>
      <c r="DE167" s="461"/>
      <c r="DF167" s="461"/>
      <c r="DG167" s="461"/>
      <c r="DH167" s="461"/>
      <c r="DI167" s="461"/>
      <c r="DJ167" s="461"/>
      <c r="DK167" s="461"/>
      <c r="DL167" s="461"/>
      <c r="DM167" s="461"/>
      <c r="DN167" s="461"/>
      <c r="DO167" s="461"/>
      <c r="DP167" s="461"/>
      <c r="DQ167" s="461"/>
      <c r="DR167" s="461"/>
      <c r="DS167" s="461"/>
      <c r="DT167" s="461"/>
      <c r="DU167" s="461"/>
      <c r="DV167" s="461"/>
      <c r="DW167" s="461"/>
      <c r="DX167" s="461"/>
      <c r="DY167" s="461"/>
      <c r="DZ167" s="461"/>
      <c r="EA167" s="461"/>
      <c r="EB167" s="461"/>
      <c r="EC167" s="461"/>
      <c r="ED167" s="461"/>
      <c r="EE167" s="461"/>
      <c r="EF167" s="461"/>
      <c r="EG167" s="461"/>
      <c r="EH167" s="461"/>
      <c r="EI167" s="461"/>
      <c r="EJ167" s="461"/>
      <c r="EK167" s="461"/>
      <c r="EL167" s="461"/>
      <c r="EM167" s="461"/>
      <c r="EN167" s="461"/>
      <c r="EO167" s="461"/>
      <c r="EP167" s="461"/>
      <c r="EQ167" s="461"/>
      <c r="ER167" s="461"/>
      <c r="ES167" s="461"/>
      <c r="ET167" s="461"/>
      <c r="EU167" s="461"/>
      <c r="EV167" s="461"/>
      <c r="EW167" s="461"/>
      <c r="EX167" s="461"/>
      <c r="EY167" s="461"/>
      <c r="EZ167" s="461"/>
      <c r="FA167" s="461"/>
      <c r="FB167" s="461"/>
      <c r="FC167" s="461"/>
      <c r="FD167" s="461"/>
      <c r="FE167" s="461"/>
      <c r="FF167" s="461"/>
      <c r="FG167" s="461"/>
      <c r="FH167" s="461"/>
      <c r="FI167" s="461"/>
      <c r="FJ167" s="461"/>
      <c r="FK167" s="461"/>
      <c r="FL167" s="461"/>
      <c r="FM167" s="461"/>
      <c r="FN167" s="461"/>
      <c r="FO167" s="461"/>
      <c r="FP167" s="461"/>
      <c r="FQ167" s="461"/>
      <c r="FR167" s="461"/>
      <c r="FS167" s="461"/>
      <c r="FT167" s="461"/>
      <c r="FU167" s="461"/>
      <c r="FV167" s="461"/>
      <c r="FW167" s="461"/>
      <c r="FX167" s="461"/>
      <c r="FY167" s="461"/>
      <c r="FZ167" s="461"/>
      <c r="GA167" s="461"/>
      <c r="GB167" s="461"/>
      <c r="GC167" s="461"/>
      <c r="GD167" s="469"/>
      <c r="GE167" s="469"/>
      <c r="GF167" s="469"/>
      <c r="GG167" s="469"/>
      <c r="GH167" s="469"/>
      <c r="GI167" s="469">
        <v>2.8575125020254752</v>
      </c>
      <c r="GJ167" s="469"/>
      <c r="GK167" s="469"/>
      <c r="GL167" s="469">
        <v>7.5185558839699285</v>
      </c>
      <c r="GM167" s="458"/>
      <c r="GN167" s="472"/>
      <c r="GO167" s="470"/>
      <c r="GP167" s="468"/>
    </row>
    <row r="168" spans="1:198" x14ac:dyDescent="0.25">
      <c r="A168" s="465" t="s">
        <v>1548</v>
      </c>
      <c r="B168" s="461"/>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c r="AA168" s="461"/>
      <c r="AB168" s="461"/>
      <c r="AC168" s="461"/>
      <c r="AD168" s="461"/>
      <c r="AE168" s="461"/>
      <c r="AF168" s="461"/>
      <c r="AG168" s="461"/>
      <c r="AH168" s="461"/>
      <c r="AI168" s="461"/>
      <c r="AJ168" s="461"/>
      <c r="AK168" s="461"/>
      <c r="AL168" s="461"/>
      <c r="AM168" s="461"/>
      <c r="AN168" s="461"/>
      <c r="AO168" s="461"/>
      <c r="AP168" s="461"/>
      <c r="AQ168" s="461"/>
      <c r="AR168" s="461"/>
      <c r="AS168" s="461"/>
      <c r="AT168" s="461"/>
      <c r="AU168" s="461"/>
      <c r="AV168" s="461"/>
      <c r="AW168" s="461"/>
      <c r="AX168" s="461"/>
      <c r="AY168" s="461"/>
      <c r="AZ168" s="461"/>
      <c r="BA168" s="461"/>
      <c r="BB168" s="461"/>
      <c r="BC168" s="461"/>
      <c r="BD168" s="461"/>
      <c r="BE168" s="461"/>
      <c r="BF168" s="461"/>
      <c r="BG168" s="461"/>
      <c r="BH168" s="461"/>
      <c r="BI168" s="461"/>
      <c r="BJ168" s="461"/>
      <c r="BK168" s="480"/>
      <c r="BL168" s="461"/>
      <c r="BM168" s="461"/>
      <c r="BN168" s="461"/>
      <c r="BO168" s="461"/>
      <c r="BP168" s="461"/>
      <c r="BQ168" s="461"/>
      <c r="BR168" s="461"/>
      <c r="BS168" s="461"/>
      <c r="BT168" s="461"/>
      <c r="BU168" s="461"/>
      <c r="BV168" s="461"/>
      <c r="BW168" s="461"/>
      <c r="BX168" s="461"/>
      <c r="BY168" s="461"/>
      <c r="BZ168" s="461"/>
      <c r="CA168" s="461">
        <v>0.76849252463052264</v>
      </c>
      <c r="CB168" s="461">
        <v>2.9975673841849493</v>
      </c>
      <c r="CC168" s="461">
        <v>0.17937716600406947</v>
      </c>
      <c r="CD168" s="461">
        <v>1.781538753389849</v>
      </c>
      <c r="CE168" s="461">
        <v>3.6710459301617524</v>
      </c>
      <c r="CF168" s="461">
        <v>1.4289818429792864</v>
      </c>
      <c r="CG168" s="461">
        <v>1.398568002789925</v>
      </c>
      <c r="CH168" s="461">
        <v>0.99556470691811083</v>
      </c>
      <c r="CI168" s="461">
        <v>0.15476694703925317</v>
      </c>
      <c r="CJ168" s="461">
        <v>1.0918472796139789</v>
      </c>
      <c r="CK168" s="461">
        <v>0.97746863195068912</v>
      </c>
      <c r="CL168" s="461">
        <v>14.546331918952427</v>
      </c>
      <c r="CM168" s="461">
        <v>1.1296145376973405</v>
      </c>
      <c r="CN168" s="461">
        <v>2.3348076068891941</v>
      </c>
      <c r="CO168" s="461"/>
      <c r="CP168" s="461"/>
      <c r="CQ168" s="461"/>
      <c r="CR168" s="461"/>
      <c r="CS168" s="461">
        <v>0.16233818421374546</v>
      </c>
      <c r="CT168" s="461">
        <v>0.18462797803601949</v>
      </c>
      <c r="CU168" s="461">
        <v>17.147394334467901</v>
      </c>
      <c r="CV168" s="461">
        <v>11.344194686362465</v>
      </c>
      <c r="CW168" s="461">
        <v>4.4802717399045457</v>
      </c>
      <c r="CX168" s="461">
        <v>7.2449214983171837</v>
      </c>
      <c r="CY168" s="461">
        <v>11.363871210367803</v>
      </c>
      <c r="CZ168" s="461">
        <v>20.543997090768482</v>
      </c>
      <c r="DA168" s="461">
        <v>13.829858063435763</v>
      </c>
      <c r="DB168" s="461">
        <v>1.5584352411188465</v>
      </c>
      <c r="DC168" s="461">
        <v>17.276832049251727</v>
      </c>
      <c r="DD168" s="461">
        <v>14.929740878039402</v>
      </c>
      <c r="DE168" s="461">
        <v>8.9651762894086175</v>
      </c>
      <c r="DF168" s="461">
        <v>3.3327400132506488</v>
      </c>
      <c r="DG168" s="461">
        <v>0.47864919836864916</v>
      </c>
      <c r="DH168" s="461">
        <v>18.697242178162437</v>
      </c>
      <c r="DI168" s="461">
        <v>64.65040614193525</v>
      </c>
      <c r="DJ168" s="461">
        <v>19.807826722082599</v>
      </c>
      <c r="DK168" s="461">
        <v>13.73135876130381</v>
      </c>
      <c r="DL168" s="461">
        <v>3.4581565869984261</v>
      </c>
      <c r="DM168" s="461">
        <v>4.1684529382499598</v>
      </c>
      <c r="DN168" s="461">
        <v>13.254363844426894</v>
      </c>
      <c r="DO168" s="461">
        <v>37.689235161648831</v>
      </c>
      <c r="DP168" s="461">
        <v>26.185626701296506</v>
      </c>
      <c r="DQ168" s="461">
        <v>41.606813018664951</v>
      </c>
      <c r="DR168" s="461">
        <v>53.535332808566423</v>
      </c>
      <c r="DS168" s="461"/>
      <c r="DT168" s="461">
        <v>9.2261649729451598</v>
      </c>
      <c r="DU168" s="461">
        <v>2.3477287873361044</v>
      </c>
      <c r="DV168" s="461"/>
      <c r="DW168" s="461">
        <v>4.3386597898421115</v>
      </c>
      <c r="DX168" s="461">
        <v>39.047938108579004</v>
      </c>
      <c r="DY168" s="461">
        <v>66.916910849123155</v>
      </c>
      <c r="DZ168" s="461">
        <v>9.301755381771045</v>
      </c>
      <c r="EA168" s="461">
        <v>36.260826682045533</v>
      </c>
      <c r="EB168" s="461">
        <v>37.864643657042372</v>
      </c>
      <c r="EC168" s="461">
        <v>70.00565044329538</v>
      </c>
      <c r="ED168" s="461">
        <v>34.534574607121009</v>
      </c>
      <c r="EE168" s="461">
        <v>39.046476023136094</v>
      </c>
      <c r="EF168" s="461">
        <v>37.152541966844311</v>
      </c>
      <c r="EG168" s="461"/>
      <c r="EH168" s="461"/>
      <c r="EI168" s="461">
        <v>31.666704228172446</v>
      </c>
      <c r="EJ168" s="461">
        <v>16.77972502548656</v>
      </c>
      <c r="EK168" s="461">
        <v>114.82363978917172</v>
      </c>
      <c r="EL168" s="461">
        <v>3.6091223253250351</v>
      </c>
      <c r="EM168" s="461">
        <v>9.1826172300545377</v>
      </c>
      <c r="EN168" s="461">
        <v>16.229428436750066</v>
      </c>
      <c r="EO168" s="461"/>
      <c r="EP168" s="461"/>
      <c r="EQ168" s="461"/>
      <c r="ER168" s="461"/>
      <c r="ES168" s="461"/>
      <c r="ET168" s="461"/>
      <c r="EU168" s="461"/>
      <c r="EV168" s="461"/>
      <c r="EW168" s="461"/>
      <c r="EX168" s="461"/>
      <c r="EY168" s="461"/>
      <c r="EZ168" s="461"/>
      <c r="FA168" s="461"/>
      <c r="FB168" s="461"/>
      <c r="FC168" s="461"/>
      <c r="FD168" s="461"/>
      <c r="FE168" s="461">
        <v>0.80920005969784792</v>
      </c>
      <c r="FF168" s="461"/>
      <c r="FG168" s="461"/>
      <c r="FH168" s="461"/>
      <c r="FI168" s="461"/>
      <c r="FJ168" s="461"/>
      <c r="FK168" s="461"/>
      <c r="FL168" s="461"/>
      <c r="FM168" s="461"/>
      <c r="FN168" s="461"/>
      <c r="FO168" s="461"/>
      <c r="FP168" s="461"/>
      <c r="FQ168" s="461"/>
      <c r="FR168" s="461"/>
      <c r="FS168" s="461"/>
      <c r="FT168" s="461"/>
      <c r="FU168" s="461"/>
      <c r="FV168" s="461"/>
      <c r="FW168" s="461"/>
      <c r="FX168" s="461"/>
      <c r="FY168" s="461"/>
      <c r="FZ168" s="461"/>
      <c r="GA168" s="461"/>
      <c r="GB168" s="461"/>
      <c r="GC168" s="461"/>
      <c r="GD168" s="469"/>
      <c r="GE168" s="469"/>
      <c r="GF168" s="469"/>
      <c r="GG168" s="469"/>
      <c r="GH168" s="469"/>
      <c r="GI168" s="469"/>
      <c r="GJ168" s="469"/>
      <c r="GK168" s="469"/>
      <c r="GL168" s="469">
        <v>1042.2281449155887</v>
      </c>
      <c r="GM168" s="458"/>
      <c r="GN168" s="469"/>
      <c r="GO168" s="469"/>
      <c r="GP168" s="468"/>
    </row>
    <row r="169" spans="1:198" x14ac:dyDescent="0.25">
      <c r="A169" s="465" t="s">
        <v>1454</v>
      </c>
      <c r="B169" s="461">
        <v>0.12510513294325573</v>
      </c>
      <c r="C169" s="461">
        <v>0.67235377113746031</v>
      </c>
      <c r="D169" s="461">
        <v>2.7065436727444832E-2</v>
      </c>
      <c r="E169" s="461">
        <v>0.94554749197163501</v>
      </c>
      <c r="F169" s="461">
        <v>1.7782543104173236</v>
      </c>
      <c r="G169" s="461">
        <v>0.95581112514801525</v>
      </c>
      <c r="H169" s="461">
        <v>0.28607690301258559</v>
      </c>
      <c r="I169" s="461">
        <v>0.36756900331166642</v>
      </c>
      <c r="J169" s="461">
        <v>3.5267681512846413E-2</v>
      </c>
      <c r="K169" s="461">
        <v>0.36184477962762018</v>
      </c>
      <c r="L169" s="461">
        <v>0.10874110973324265</v>
      </c>
      <c r="M169" s="461">
        <v>0.84816231084890525</v>
      </c>
      <c r="N169" s="461">
        <v>0.50220371717440315</v>
      </c>
      <c r="O169" s="461"/>
      <c r="P169" s="461">
        <v>0.5083174240396281</v>
      </c>
      <c r="Q169" s="461">
        <v>2.8183700570693477</v>
      </c>
      <c r="R169" s="461">
        <v>6.9391023825812526E-2</v>
      </c>
      <c r="S169" s="461">
        <v>3.9495935498543582</v>
      </c>
      <c r="T169" s="461">
        <v>4.2017748833507884</v>
      </c>
      <c r="U169" s="461">
        <v>4.1922335621010687</v>
      </c>
      <c r="V169" s="461">
        <v>0.21753327635842726</v>
      </c>
      <c r="W169" s="461">
        <v>0.1534090095345875</v>
      </c>
      <c r="X169" s="461">
        <v>0.27480266575506729</v>
      </c>
      <c r="Y169" s="461">
        <v>3.5039986003582664E-2</v>
      </c>
      <c r="Z169" s="461">
        <v>0.26692465664136139</v>
      </c>
      <c r="AA169" s="461">
        <v>0.22444878260969525</v>
      </c>
      <c r="AB169" s="461">
        <v>0.17052211226701902</v>
      </c>
      <c r="AC169" s="461">
        <v>4.6692396719214282E-2</v>
      </c>
      <c r="AD169" s="461">
        <v>0.71523897024457406</v>
      </c>
      <c r="AE169" s="461">
        <v>0.24915519962801577</v>
      </c>
      <c r="AF169" s="461">
        <v>7.4682371301478659E-2</v>
      </c>
      <c r="AG169" s="461">
        <v>5.0489610415525464E-3</v>
      </c>
      <c r="AH169" s="461">
        <v>0.26385305872139653</v>
      </c>
      <c r="AI169" s="461">
        <v>0.66990551603386539</v>
      </c>
      <c r="AJ169" s="461">
        <v>0.11289050630357965</v>
      </c>
      <c r="AK169" s="461">
        <v>0.13848108375790286</v>
      </c>
      <c r="AL169" s="461">
        <v>2.8481944612592153E-2</v>
      </c>
      <c r="AM169" s="461">
        <v>0.15054453271637333</v>
      </c>
      <c r="AN169" s="461">
        <v>1.448059473199409</v>
      </c>
      <c r="AO169" s="461">
        <v>0.20227183704132481</v>
      </c>
      <c r="AP169" s="461">
        <v>0.21991868541567172</v>
      </c>
      <c r="AQ169" s="461">
        <v>0.2827163283710063</v>
      </c>
      <c r="AR169" s="461"/>
      <c r="AS169" s="461"/>
      <c r="AT169" s="461"/>
      <c r="AU169" s="461">
        <v>2.0563880564031845</v>
      </c>
      <c r="AV169" s="461">
        <v>0.10704903249497481</v>
      </c>
      <c r="AW169" s="461">
        <v>0.19282894742283774</v>
      </c>
      <c r="AX169" s="461">
        <v>1.0741402752962952</v>
      </c>
      <c r="AY169" s="461">
        <v>1.7685379471782652</v>
      </c>
      <c r="AZ169" s="461">
        <v>9.7223724283744595E-2</v>
      </c>
      <c r="BA169" s="461">
        <v>1.7558721050675061</v>
      </c>
      <c r="BB169" s="461">
        <v>1.1944450897353895</v>
      </c>
      <c r="BC169" s="461">
        <v>1.1545776137940763E-3</v>
      </c>
      <c r="BD169" s="461">
        <v>7.0298509676324178E-4</v>
      </c>
      <c r="BE169" s="461">
        <v>0.21904000153247524</v>
      </c>
      <c r="BF169" s="461">
        <v>3.3477206008109073E-3</v>
      </c>
      <c r="BG169" s="461">
        <v>0.83478639050976722</v>
      </c>
      <c r="BH169" s="461">
        <v>0.11623405647750715</v>
      </c>
      <c r="BI169" s="461">
        <v>0.59192498491137002</v>
      </c>
      <c r="BJ169" s="461">
        <v>0.35159942152110751</v>
      </c>
      <c r="BK169" s="480">
        <v>6.6142952346106947</v>
      </c>
      <c r="BL169" s="461">
        <v>0.43793534275170032</v>
      </c>
      <c r="BM169" s="461">
        <v>6.9309708756064348</v>
      </c>
      <c r="BN169" s="461">
        <v>5.8936218715405815</v>
      </c>
      <c r="BO169" s="461">
        <v>1.6747276339914381</v>
      </c>
      <c r="BP169" s="461">
        <v>2.1486225530329017</v>
      </c>
      <c r="BQ169" s="461">
        <v>8.0235738754852957</v>
      </c>
      <c r="BR169" s="461">
        <v>3.7814006906623669E-2</v>
      </c>
      <c r="BS169" s="461">
        <v>3.4835544432987794E-2</v>
      </c>
      <c r="BT169" s="461">
        <v>1E-10</v>
      </c>
      <c r="BU169" s="461">
        <v>0.52853366409750047</v>
      </c>
      <c r="BV169" s="461">
        <v>0.28174260086165737</v>
      </c>
      <c r="BW169" s="461">
        <v>2.8023927032680249</v>
      </c>
      <c r="BX169" s="461">
        <v>10.420748532925698</v>
      </c>
      <c r="BY169" s="461">
        <v>63.382266131030839</v>
      </c>
      <c r="BZ169" s="461">
        <v>32.887702505168114</v>
      </c>
      <c r="CA169" s="461"/>
      <c r="CB169" s="461"/>
      <c r="CC169" s="461"/>
      <c r="CD169" s="461"/>
      <c r="CE169" s="461"/>
      <c r="CF169" s="461"/>
      <c r="CG169" s="461"/>
      <c r="CH169" s="461"/>
      <c r="CI169" s="461"/>
      <c r="CJ169" s="461"/>
      <c r="CK169" s="461"/>
      <c r="CL169" s="461"/>
      <c r="CM169" s="461"/>
      <c r="CN169" s="461"/>
      <c r="CO169" s="461"/>
      <c r="CP169" s="461"/>
      <c r="CQ169" s="461"/>
      <c r="CR169" s="461"/>
      <c r="CS169" s="461"/>
      <c r="CT169" s="461"/>
      <c r="CU169" s="461"/>
      <c r="CV169" s="461"/>
      <c r="CW169" s="461"/>
      <c r="CX169" s="461"/>
      <c r="CY169" s="461"/>
      <c r="CZ169" s="461"/>
      <c r="DA169" s="461"/>
      <c r="DB169" s="461"/>
      <c r="DC169" s="461"/>
      <c r="DD169" s="461"/>
      <c r="DE169" s="461"/>
      <c r="DF169" s="461"/>
      <c r="DG169" s="461"/>
      <c r="DH169" s="461"/>
      <c r="DI169" s="461"/>
      <c r="DJ169" s="461"/>
      <c r="DK169" s="461"/>
      <c r="DL169" s="461"/>
      <c r="DM169" s="461"/>
      <c r="DN169" s="461"/>
      <c r="DO169" s="461"/>
      <c r="DP169" s="461"/>
      <c r="DQ169" s="461"/>
      <c r="DR169" s="461"/>
      <c r="DS169" s="461"/>
      <c r="DT169" s="461"/>
      <c r="DU169" s="461"/>
      <c r="DV169" s="461"/>
      <c r="DW169" s="461"/>
      <c r="DX169" s="461"/>
      <c r="DY169" s="461"/>
      <c r="DZ169" s="461"/>
      <c r="EA169" s="461"/>
      <c r="EB169" s="461"/>
      <c r="EC169" s="461"/>
      <c r="ED169" s="461"/>
      <c r="EE169" s="461"/>
      <c r="EF169" s="461"/>
      <c r="EG169" s="461"/>
      <c r="EH169" s="461"/>
      <c r="EI169" s="461"/>
      <c r="EJ169" s="461"/>
      <c r="EK169" s="461"/>
      <c r="EL169" s="461"/>
      <c r="EM169" s="461"/>
      <c r="EN169" s="461"/>
      <c r="EO169" s="461"/>
      <c r="EP169" s="461"/>
      <c r="EQ169" s="461"/>
      <c r="ER169" s="461"/>
      <c r="ES169" s="461"/>
      <c r="ET169" s="461"/>
      <c r="EU169" s="461"/>
      <c r="EV169" s="461"/>
      <c r="EW169" s="461"/>
      <c r="EX169" s="461"/>
      <c r="EY169" s="461"/>
      <c r="EZ169" s="461"/>
      <c r="FA169" s="461"/>
      <c r="FB169" s="461"/>
      <c r="FC169" s="461"/>
      <c r="FD169" s="461"/>
      <c r="FE169" s="461"/>
      <c r="FF169" s="461"/>
      <c r="FG169" s="461"/>
      <c r="FH169" s="461"/>
      <c r="FI169" s="461"/>
      <c r="FJ169" s="461"/>
      <c r="FK169" s="461"/>
      <c r="FL169" s="461"/>
      <c r="FM169" s="461"/>
      <c r="FN169" s="461"/>
      <c r="FO169" s="461"/>
      <c r="FP169" s="461"/>
      <c r="FQ169" s="461"/>
      <c r="FR169" s="461"/>
      <c r="FS169" s="461"/>
      <c r="FT169" s="461"/>
      <c r="FU169" s="461"/>
      <c r="FV169" s="461"/>
      <c r="FW169" s="461"/>
      <c r="FX169" s="461"/>
      <c r="FY169" s="461"/>
      <c r="FZ169" s="461"/>
      <c r="GA169" s="461"/>
      <c r="GB169" s="461"/>
      <c r="GC169" s="461"/>
      <c r="GD169" s="469"/>
      <c r="GE169" s="469"/>
      <c r="GF169" s="469"/>
      <c r="GG169" s="469"/>
      <c r="GH169" s="469"/>
      <c r="GI169" s="469"/>
      <c r="GJ169" s="469"/>
      <c r="GK169" s="469">
        <v>0.96283808212903543</v>
      </c>
      <c r="GL169" s="469">
        <v>182.13220110217043</v>
      </c>
      <c r="GM169" s="458"/>
      <c r="GN169" s="469"/>
      <c r="GO169" s="469"/>
      <c r="GP169" s="468"/>
    </row>
    <row r="170" spans="1:198" x14ac:dyDescent="0.25">
      <c r="A170" s="465" t="s">
        <v>1453</v>
      </c>
      <c r="B170" s="461">
        <v>0.11066231139214168</v>
      </c>
      <c r="C170" s="461">
        <v>0.59591095046170894</v>
      </c>
      <c r="D170" s="461">
        <v>2.3982809014613804E-2</v>
      </c>
      <c r="E170" s="461">
        <v>0.83120635177018487</v>
      </c>
      <c r="F170" s="461">
        <v>1.5699118902608136</v>
      </c>
      <c r="G170" s="461">
        <v>0.84347674674888018</v>
      </c>
      <c r="H170" s="461">
        <v>0.25347865314987722</v>
      </c>
      <c r="I170" s="461">
        <v>0.325112985058857</v>
      </c>
      <c r="J170" s="461">
        <v>3.1172495066743085E-2</v>
      </c>
      <c r="K170" s="461">
        <v>0.32018908642194921</v>
      </c>
      <c r="L170" s="461">
        <v>9.6231162159070474E-2</v>
      </c>
      <c r="M170" s="461">
        <v>0.74899406312984107</v>
      </c>
      <c r="N170" s="461">
        <v>1.5115848729179056</v>
      </c>
      <c r="O170" s="461">
        <v>1.7143070612532809</v>
      </c>
      <c r="P170" s="461">
        <v>6.1341676729301486</v>
      </c>
      <c r="Q170" s="461">
        <v>13.65171653835341</v>
      </c>
      <c r="R170" s="461">
        <v>5.207154039894811E-2</v>
      </c>
      <c r="S170" s="461">
        <v>10.330953981829854</v>
      </c>
      <c r="T170" s="461">
        <v>10.990584832078781</v>
      </c>
      <c r="U170" s="461">
        <v>3.145883246206965</v>
      </c>
      <c r="V170" s="461">
        <v>0.5672425379567525</v>
      </c>
      <c r="W170" s="461">
        <v>0.40084785101480963</v>
      </c>
      <c r="X170" s="461">
        <v>0.71589066445976601</v>
      </c>
      <c r="Y170" s="461">
        <v>9.0923956859957425E-2</v>
      </c>
      <c r="Z170" s="461">
        <v>0.69443134530567685</v>
      </c>
      <c r="AA170" s="461">
        <v>0.58024560107427103</v>
      </c>
      <c r="AB170" s="461">
        <v>0.44155270305005806</v>
      </c>
      <c r="AC170" s="461">
        <v>0.12128277780951806</v>
      </c>
      <c r="AD170" s="461">
        <v>1.858279024880543</v>
      </c>
      <c r="AE170" s="461">
        <v>0.64628247234236869</v>
      </c>
      <c r="AF170" s="461">
        <v>0.19349804671105456</v>
      </c>
      <c r="AG170" s="461">
        <v>1.3096608883782829E-2</v>
      </c>
      <c r="AH170" s="461">
        <v>0.68543616739760149</v>
      </c>
      <c r="AI170" s="461">
        <v>3.2170751631233148</v>
      </c>
      <c r="AJ170" s="461">
        <v>2.3568764759886234</v>
      </c>
      <c r="AK170" s="461">
        <v>2.1609877831530473</v>
      </c>
      <c r="AL170" s="461">
        <v>0.4126198741877431</v>
      </c>
      <c r="AM170" s="461">
        <v>0.25230894614267968</v>
      </c>
      <c r="AN170" s="461">
        <v>4.9970443502007882</v>
      </c>
      <c r="AO170" s="461">
        <v>1.1168365471703106</v>
      </c>
      <c r="AP170" s="461">
        <v>2.5834863770214791</v>
      </c>
      <c r="AQ170" s="461">
        <v>1.1704039877503853</v>
      </c>
      <c r="AR170" s="461">
        <v>2.654512127427025E-2</v>
      </c>
      <c r="AS170" s="461">
        <v>0.54592018064679348</v>
      </c>
      <c r="AT170" s="461">
        <v>4.913281625821142</v>
      </c>
      <c r="AU170" s="461">
        <v>5.7346477444858159</v>
      </c>
      <c r="AV170" s="461">
        <v>1.7439601899941701</v>
      </c>
      <c r="AW170" s="461">
        <v>3.2450412416893921</v>
      </c>
      <c r="AX170" s="461">
        <v>2.8543671754440303</v>
      </c>
      <c r="AY170" s="461">
        <v>4.7612768304376258</v>
      </c>
      <c r="AZ170" s="461">
        <v>2.0659316852131462</v>
      </c>
      <c r="BA170" s="461">
        <v>11.476382958374364</v>
      </c>
      <c r="BB170" s="461">
        <v>7.0775168285309134</v>
      </c>
      <c r="BC170" s="461">
        <v>5.0694462894924908E-3</v>
      </c>
      <c r="BD170" s="461">
        <v>3.0866224563665793E-3</v>
      </c>
      <c r="BE170" s="461">
        <v>0.96172079185775949</v>
      </c>
      <c r="BF170" s="461">
        <v>8.2069225433235984E-2</v>
      </c>
      <c r="BG170" s="461">
        <v>6.6027187310052655</v>
      </c>
      <c r="BH170" s="461">
        <v>1.2860619826143815</v>
      </c>
      <c r="BI170" s="461">
        <v>2.4337198274438476</v>
      </c>
      <c r="BJ170" s="461">
        <v>3.6616233335883401</v>
      </c>
      <c r="BK170" s="480">
        <v>2.6028822058565537</v>
      </c>
      <c r="BL170" s="461">
        <v>2.6275742253558003</v>
      </c>
      <c r="BM170" s="461">
        <v>19.788136147376623</v>
      </c>
      <c r="BN170" s="461">
        <v>42.152995890159289</v>
      </c>
      <c r="BO170" s="461">
        <v>4.3135307347250249</v>
      </c>
      <c r="BP170" s="461">
        <v>3.2982413826147154</v>
      </c>
      <c r="BQ170" s="461">
        <v>13.073971191278702</v>
      </c>
      <c r="BR170" s="461">
        <v>0.94061266429323587</v>
      </c>
      <c r="BS170" s="461">
        <v>0.8652329540590239</v>
      </c>
      <c r="BT170" s="461">
        <v>1E-10</v>
      </c>
      <c r="BU170" s="461">
        <v>6.1939142312134932</v>
      </c>
      <c r="BV170" s="461">
        <v>3.5386951608120238</v>
      </c>
      <c r="BW170" s="461">
        <v>11.485153812455</v>
      </c>
      <c r="BX170" s="461">
        <v>21.059525802687446</v>
      </c>
      <c r="BY170" s="461">
        <v>50.998149929458037</v>
      </c>
      <c r="BZ170" s="461">
        <v>72.179047551938694</v>
      </c>
      <c r="CA170" s="461"/>
      <c r="CB170" s="461"/>
      <c r="CC170" s="461"/>
      <c r="CD170" s="461"/>
      <c r="CE170" s="461"/>
      <c r="CF170" s="461"/>
      <c r="CG170" s="461"/>
      <c r="CH170" s="461"/>
      <c r="CI170" s="461"/>
      <c r="CJ170" s="461"/>
      <c r="CK170" s="461"/>
      <c r="CL170" s="461"/>
      <c r="CM170" s="461"/>
      <c r="CN170" s="461"/>
      <c r="CO170" s="461"/>
      <c r="CP170" s="461"/>
      <c r="CQ170" s="461"/>
      <c r="CR170" s="461"/>
      <c r="CS170" s="461"/>
      <c r="CT170" s="461"/>
      <c r="CU170" s="461"/>
      <c r="CV170" s="461"/>
      <c r="CW170" s="461"/>
      <c r="CX170" s="461"/>
      <c r="CY170" s="461"/>
      <c r="CZ170" s="461"/>
      <c r="DA170" s="461"/>
      <c r="DB170" s="461"/>
      <c r="DC170" s="461"/>
      <c r="DD170" s="461"/>
      <c r="DE170" s="461"/>
      <c r="DF170" s="461"/>
      <c r="DG170" s="461"/>
      <c r="DH170" s="461"/>
      <c r="DI170" s="461"/>
      <c r="DJ170" s="461"/>
      <c r="DK170" s="461"/>
      <c r="DL170" s="461"/>
      <c r="DM170" s="461"/>
      <c r="DN170" s="461"/>
      <c r="DO170" s="461"/>
      <c r="DP170" s="461"/>
      <c r="DQ170" s="461"/>
      <c r="DR170" s="461"/>
      <c r="DS170" s="461"/>
      <c r="DT170" s="461"/>
      <c r="DU170" s="461"/>
      <c r="DV170" s="461"/>
      <c r="DW170" s="461"/>
      <c r="DX170" s="461"/>
      <c r="DY170" s="461"/>
      <c r="DZ170" s="461"/>
      <c r="EA170" s="461"/>
      <c r="EB170" s="461"/>
      <c r="EC170" s="461"/>
      <c r="ED170" s="461"/>
      <c r="EE170" s="461"/>
      <c r="EF170" s="461"/>
      <c r="EG170" s="461"/>
      <c r="EH170" s="461"/>
      <c r="EI170" s="461"/>
      <c r="EJ170" s="461"/>
      <c r="EK170" s="461"/>
      <c r="EL170" s="461"/>
      <c r="EM170" s="461"/>
      <c r="EN170" s="461"/>
      <c r="EO170" s="461"/>
      <c r="EP170" s="461"/>
      <c r="EQ170" s="461"/>
      <c r="ER170" s="461"/>
      <c r="ES170" s="461"/>
      <c r="ET170" s="461"/>
      <c r="EU170" s="461"/>
      <c r="EV170" s="461"/>
      <c r="EW170" s="461"/>
      <c r="EX170" s="461"/>
      <c r="EY170" s="461"/>
      <c r="EZ170" s="461"/>
      <c r="FA170" s="461"/>
      <c r="FB170" s="461"/>
      <c r="FC170" s="461"/>
      <c r="FD170" s="461"/>
      <c r="FE170" s="461"/>
      <c r="FF170" s="461"/>
      <c r="FG170" s="461"/>
      <c r="FH170" s="461"/>
      <c r="FI170" s="461"/>
      <c r="FJ170" s="461"/>
      <c r="FK170" s="461"/>
      <c r="FL170" s="461"/>
      <c r="FM170" s="461"/>
      <c r="FN170" s="461"/>
      <c r="FO170" s="461"/>
      <c r="FP170" s="461"/>
      <c r="FQ170" s="461"/>
      <c r="FR170" s="461"/>
      <c r="FS170" s="461"/>
      <c r="FT170" s="461"/>
      <c r="FU170" s="461"/>
      <c r="FV170" s="461"/>
      <c r="FW170" s="461"/>
      <c r="FX170" s="461"/>
      <c r="FY170" s="461"/>
      <c r="FZ170" s="461"/>
      <c r="GA170" s="461"/>
      <c r="GB170" s="461"/>
      <c r="GC170" s="461"/>
      <c r="GD170" s="469"/>
      <c r="GE170" s="469"/>
      <c r="GF170" s="469"/>
      <c r="GG170" s="469"/>
      <c r="GH170" s="469"/>
      <c r="GI170" s="469"/>
      <c r="GJ170" s="469"/>
      <c r="GK170" s="469">
        <v>2.1348379004562132</v>
      </c>
      <c r="GL170" s="469">
        <v>395.2916918405287</v>
      </c>
      <c r="GM170" s="458"/>
      <c r="GN170" s="469"/>
      <c r="GO170" s="469"/>
      <c r="GP170" s="468"/>
    </row>
    <row r="171" spans="1:198" x14ac:dyDescent="0.25">
      <c r="A171" s="465" t="s">
        <v>1452</v>
      </c>
      <c r="B171" s="461">
        <v>0.11033751960761025</v>
      </c>
      <c r="C171" s="461">
        <v>0.59332186752300786</v>
      </c>
      <c r="D171" s="461">
        <v>2.392009071273371E-2</v>
      </c>
      <c r="E171" s="461">
        <v>0.82810527036005877</v>
      </c>
      <c r="F171" s="461">
        <v>1.5633199734596748</v>
      </c>
      <c r="G171" s="461">
        <v>0.83913896286177059</v>
      </c>
      <c r="H171" s="461">
        <v>0.25263512727425019</v>
      </c>
      <c r="I171" s="461">
        <v>0.32396577738292931</v>
      </c>
      <c r="J171" s="461">
        <v>3.1087871786031073E-2</v>
      </c>
      <c r="K171" s="461">
        <v>0.31905259338792147</v>
      </c>
      <c r="L171" s="461">
        <v>9.5959452457071576E-2</v>
      </c>
      <c r="M171" s="461">
        <v>0.74604489050273948</v>
      </c>
      <c r="N171" s="461">
        <v>0.60569622832949532</v>
      </c>
      <c r="O171" s="461">
        <v>5.4377889883493236E-2</v>
      </c>
      <c r="P171" s="461">
        <v>7.8057051870069385</v>
      </c>
      <c r="Q171" s="461">
        <v>17.139370684184776</v>
      </c>
      <c r="R171" s="461">
        <v>7.8758367368563467E-2</v>
      </c>
      <c r="S171" s="461">
        <v>12.511281950705243</v>
      </c>
      <c r="T171" s="461">
        <v>13.310126623265287</v>
      </c>
      <c r="U171" s="461">
        <v>4.7581582281822064</v>
      </c>
      <c r="V171" s="461">
        <v>1.3485746890506365</v>
      </c>
      <c r="W171" s="461">
        <v>0.9581608704275224</v>
      </c>
      <c r="X171" s="461">
        <v>1.6979675720044003</v>
      </c>
      <c r="Y171" s="461">
        <v>0.21439730293720491</v>
      </c>
      <c r="Z171" s="461">
        <v>1.6403709445730918</v>
      </c>
      <c r="AA171" s="461">
        <v>1.3531414725386592</v>
      </c>
      <c r="AB171" s="461">
        <v>1.0346924478713433</v>
      </c>
      <c r="AC171" s="461">
        <v>0.28666022695147797</v>
      </c>
      <c r="AD171" s="461">
        <v>4.3432570868932805</v>
      </c>
      <c r="AE171" s="461">
        <v>1.5164267722313864</v>
      </c>
      <c r="AF171" s="461">
        <v>0.45444456903839914</v>
      </c>
      <c r="AG171" s="461">
        <v>3.0875355978841171E-2</v>
      </c>
      <c r="AH171" s="461">
        <v>1.6180331747858168</v>
      </c>
      <c r="AI171" s="461">
        <v>4.0891162630120643</v>
      </c>
      <c r="AJ171" s="461">
        <v>2.1870615217011302</v>
      </c>
      <c r="AK171" s="461">
        <v>1.1924211461863334</v>
      </c>
      <c r="AL171" s="461">
        <v>0.40123655516967888</v>
      </c>
      <c r="AM171" s="461">
        <v>0.28361266287156811</v>
      </c>
      <c r="AN171" s="461">
        <v>3.4881152686315611</v>
      </c>
      <c r="AO171" s="461">
        <v>5.7256727470379589</v>
      </c>
      <c r="AP171" s="461">
        <v>6.2153621705946414</v>
      </c>
      <c r="AQ171" s="461">
        <v>2.320199628699315</v>
      </c>
      <c r="AR171" s="461">
        <v>7.7375056063996132E-3</v>
      </c>
      <c r="AS171" s="461">
        <v>0.15912756301835268</v>
      </c>
      <c r="AT171" s="461">
        <v>1.4321480671651743</v>
      </c>
      <c r="AU171" s="461">
        <v>10.469575657113365</v>
      </c>
      <c r="AV171" s="461">
        <v>1.6282191374033388</v>
      </c>
      <c r="AW171" s="461">
        <v>4.8818356766423072</v>
      </c>
      <c r="AX171" s="461">
        <v>5.3014557256996282</v>
      </c>
      <c r="AY171" s="461">
        <v>7.1010094450585681</v>
      </c>
      <c r="AZ171" s="461">
        <v>4.747603604781923</v>
      </c>
      <c r="BA171" s="461">
        <v>9.0800897414448585</v>
      </c>
      <c r="BB171" s="461">
        <v>12.82529993605009</v>
      </c>
      <c r="BC171" s="461">
        <v>1.5419853836618343E-2</v>
      </c>
      <c r="BD171" s="461">
        <v>9.3886520160294182E-3</v>
      </c>
      <c r="BE171" s="461">
        <v>2.9244723716826133</v>
      </c>
      <c r="BF171" s="461">
        <v>4.0025380688973664</v>
      </c>
      <c r="BG171" s="461">
        <v>11.451917019924222</v>
      </c>
      <c r="BH171" s="461">
        <v>4.0513388777100756</v>
      </c>
      <c r="BI171" s="461">
        <v>1.3285570725351272</v>
      </c>
      <c r="BJ171" s="461">
        <v>1.4180577323843633</v>
      </c>
      <c r="BK171" s="480">
        <v>6.7299547658112999</v>
      </c>
      <c r="BL171" s="461">
        <v>2.3268837970265457</v>
      </c>
      <c r="BM171" s="461">
        <v>21.559785671280448</v>
      </c>
      <c r="BN171" s="461">
        <v>85.871221630878438</v>
      </c>
      <c r="BO171" s="461">
        <v>7.2747093032250705</v>
      </c>
      <c r="BP171" s="461">
        <v>5.6273032158972196</v>
      </c>
      <c r="BQ171" s="461">
        <v>22.421812509943422</v>
      </c>
      <c r="BR171" s="461">
        <v>0.78088085026920784</v>
      </c>
      <c r="BS171" s="461">
        <v>0.71850977376402914</v>
      </c>
      <c r="BT171" s="461">
        <v>1E-10</v>
      </c>
      <c r="BU171" s="461">
        <v>11.487845792895801</v>
      </c>
      <c r="BV171" s="461">
        <v>11.744419392397619</v>
      </c>
      <c r="BW171" s="461">
        <v>49.52649148977639</v>
      </c>
      <c r="BX171" s="461">
        <v>36.999134305570976</v>
      </c>
      <c r="BY171" s="461">
        <v>182.27619207865391</v>
      </c>
      <c r="BZ171" s="461">
        <v>45.23764531564585</v>
      </c>
      <c r="CA171" s="461"/>
      <c r="CB171" s="461"/>
      <c r="CC171" s="461"/>
      <c r="CD171" s="461"/>
      <c r="CE171" s="461"/>
      <c r="CF171" s="461"/>
      <c r="CG171" s="461"/>
      <c r="CH171" s="461"/>
      <c r="CI171" s="461"/>
      <c r="CJ171" s="461"/>
      <c r="CK171" s="461"/>
      <c r="CL171" s="461"/>
      <c r="CM171" s="461"/>
      <c r="CN171" s="461"/>
      <c r="CO171" s="461"/>
      <c r="CP171" s="461"/>
      <c r="CQ171" s="461"/>
      <c r="CR171" s="461"/>
      <c r="CS171" s="461"/>
      <c r="CT171" s="461"/>
      <c r="CU171" s="461"/>
      <c r="CV171" s="461"/>
      <c r="CW171" s="461"/>
      <c r="CX171" s="461"/>
      <c r="CY171" s="461"/>
      <c r="CZ171" s="461"/>
      <c r="DA171" s="461"/>
      <c r="DB171" s="461"/>
      <c r="DC171" s="461"/>
      <c r="DD171" s="461"/>
      <c r="DE171" s="461"/>
      <c r="DF171" s="461"/>
      <c r="DG171" s="461"/>
      <c r="DH171" s="461"/>
      <c r="DI171" s="461"/>
      <c r="DJ171" s="461"/>
      <c r="DK171" s="461"/>
      <c r="DL171" s="461"/>
      <c r="DM171" s="461"/>
      <c r="DN171" s="461"/>
      <c r="DO171" s="461"/>
      <c r="DP171" s="461"/>
      <c r="DQ171" s="461"/>
      <c r="DR171" s="461"/>
      <c r="DS171" s="461"/>
      <c r="DT171" s="461"/>
      <c r="DU171" s="461"/>
      <c r="DV171" s="461"/>
      <c r="DW171" s="461"/>
      <c r="DX171" s="461"/>
      <c r="DY171" s="461"/>
      <c r="DZ171" s="461"/>
      <c r="EA171" s="461"/>
      <c r="EB171" s="461"/>
      <c r="EC171" s="461"/>
      <c r="ED171" s="461"/>
      <c r="EE171" s="461"/>
      <c r="EF171" s="461"/>
      <c r="EG171" s="461"/>
      <c r="EH171" s="461"/>
      <c r="EI171" s="461"/>
      <c r="EJ171" s="461"/>
      <c r="EK171" s="461"/>
      <c r="EL171" s="461"/>
      <c r="EM171" s="461"/>
      <c r="EN171" s="461"/>
      <c r="EO171" s="461"/>
      <c r="EP171" s="461"/>
      <c r="EQ171" s="461"/>
      <c r="ER171" s="461"/>
      <c r="ES171" s="461"/>
      <c r="ET171" s="461"/>
      <c r="EU171" s="461"/>
      <c r="EV171" s="461"/>
      <c r="EW171" s="461"/>
      <c r="EX171" s="461"/>
      <c r="EY171" s="461"/>
      <c r="EZ171" s="461"/>
      <c r="FA171" s="461"/>
      <c r="FB171" s="461"/>
      <c r="FC171" s="461"/>
      <c r="FD171" s="461"/>
      <c r="FE171" s="461"/>
      <c r="FF171" s="461"/>
      <c r="FG171" s="461"/>
      <c r="FH171" s="461"/>
      <c r="FI171" s="461"/>
      <c r="FJ171" s="461"/>
      <c r="FK171" s="461"/>
      <c r="FL171" s="461"/>
      <c r="FM171" s="461"/>
      <c r="FN171" s="461"/>
      <c r="FO171" s="461"/>
      <c r="FP171" s="461"/>
      <c r="FQ171" s="461"/>
      <c r="FR171" s="461"/>
      <c r="FS171" s="461"/>
      <c r="FT171" s="461"/>
      <c r="FU171" s="461"/>
      <c r="FV171" s="461"/>
      <c r="FW171" s="461"/>
      <c r="FX171" s="461"/>
      <c r="FY171" s="461"/>
      <c r="FZ171" s="461"/>
      <c r="GA171" s="461"/>
      <c r="GB171" s="461"/>
      <c r="GC171" s="461"/>
      <c r="GD171" s="469"/>
      <c r="GE171" s="469"/>
      <c r="GF171" s="469"/>
      <c r="GG171" s="469"/>
      <c r="GH171" s="469"/>
      <c r="GI171" s="469"/>
      <c r="GJ171" s="469"/>
      <c r="GK171" s="469">
        <v>3.6047464406395604</v>
      </c>
      <c r="GL171" s="469">
        <v>681.41349304817436</v>
      </c>
      <c r="GM171" s="458"/>
      <c r="GN171" s="469"/>
      <c r="GO171" s="469"/>
      <c r="GP171" s="468"/>
    </row>
    <row r="172" spans="1:198" x14ac:dyDescent="0.25">
      <c r="A172" s="465" t="s">
        <v>1451</v>
      </c>
      <c r="B172" s="461">
        <v>0.19810497088661905</v>
      </c>
      <c r="C172" s="461">
        <v>1.043425083106517</v>
      </c>
      <c r="D172" s="461">
        <v>4.2567392579294774E-2</v>
      </c>
      <c r="E172" s="461">
        <v>1.5429723432565572</v>
      </c>
      <c r="F172" s="461">
        <v>2.8385115831611367</v>
      </c>
      <c r="G172" s="461">
        <v>1.5084433395404064</v>
      </c>
      <c r="H172" s="461">
        <v>0.44780612705463763</v>
      </c>
      <c r="I172" s="461">
        <v>0.57989293471501446</v>
      </c>
      <c r="J172" s="461">
        <v>5.6153574328131575E-2</v>
      </c>
      <c r="K172" s="461">
        <v>0.56944137210769186</v>
      </c>
      <c r="L172" s="461">
        <v>0.17194509232577998</v>
      </c>
      <c r="M172" s="461">
        <v>1.3479490726823098</v>
      </c>
      <c r="N172" s="461">
        <v>0.65135129276078629</v>
      </c>
      <c r="O172" s="461"/>
      <c r="P172" s="461">
        <v>9.6865615006007388</v>
      </c>
      <c r="Q172" s="461">
        <v>14.508996097377414</v>
      </c>
      <c r="R172" s="461">
        <v>0.1886402437816628</v>
      </c>
      <c r="S172" s="461">
        <v>10.259046698312405</v>
      </c>
      <c r="T172" s="461">
        <v>10.914086272416929</v>
      </c>
      <c r="U172" s="461">
        <v>11.396631978360267</v>
      </c>
      <c r="V172" s="461">
        <v>2.5498591414055976</v>
      </c>
      <c r="W172" s="461">
        <v>1.825869489482177</v>
      </c>
      <c r="X172" s="461">
        <v>3.1994623701995848</v>
      </c>
      <c r="Y172" s="461">
        <v>0.40013298152225479</v>
      </c>
      <c r="Z172" s="461">
        <v>3.0734064511015138</v>
      </c>
      <c r="AA172" s="461">
        <v>2.4853926187124604</v>
      </c>
      <c r="AB172" s="461">
        <v>1.9138738181560289</v>
      </c>
      <c r="AC172" s="461">
        <v>0.53686893235259525</v>
      </c>
      <c r="AD172" s="461">
        <v>8.0294073750675317</v>
      </c>
      <c r="AE172" s="461">
        <v>2.8129828170613731</v>
      </c>
      <c r="AF172" s="461">
        <v>0.84321684935422658</v>
      </c>
      <c r="AG172" s="461">
        <v>5.7594459923546351E-2</v>
      </c>
      <c r="AH172" s="461">
        <v>3.0259251779267102</v>
      </c>
      <c r="AI172" s="461">
        <v>13.800203414788861</v>
      </c>
      <c r="AJ172" s="461">
        <v>1.2150835431669946</v>
      </c>
      <c r="AK172" s="461">
        <v>3.0927066405120875</v>
      </c>
      <c r="AL172" s="461">
        <v>6.9877367511060736E-3</v>
      </c>
      <c r="AM172" s="461">
        <v>0.95131781577721053</v>
      </c>
      <c r="AN172" s="461">
        <v>2.2291940057406499</v>
      </c>
      <c r="AO172" s="461">
        <v>6.9478454684639566</v>
      </c>
      <c r="AP172" s="461">
        <v>7.3000437967297076</v>
      </c>
      <c r="AQ172" s="461">
        <v>5.8691995172827687</v>
      </c>
      <c r="AR172" s="461">
        <v>6.0373333730678762E-2</v>
      </c>
      <c r="AS172" s="461">
        <v>1.2416225533860314</v>
      </c>
      <c r="AT172" s="461">
        <v>11.174602980474285</v>
      </c>
      <c r="AU172" s="461">
        <v>13.771679874919059</v>
      </c>
      <c r="AV172" s="461">
        <v>1.0018966172697616</v>
      </c>
      <c r="AW172" s="461">
        <v>5.7594241942562698</v>
      </c>
      <c r="AX172" s="461">
        <v>2.0662480656750235</v>
      </c>
      <c r="AY172" s="461">
        <v>2.651930269308838</v>
      </c>
      <c r="AZ172" s="461">
        <v>1.9992460472492268</v>
      </c>
      <c r="BA172" s="461">
        <v>8.7429138236353161</v>
      </c>
      <c r="BB172" s="461">
        <v>8.5350560487472258</v>
      </c>
      <c r="BC172" s="461">
        <v>2.4756122260095086E-2</v>
      </c>
      <c r="BD172" s="461">
        <v>1.507320494921662E-2</v>
      </c>
      <c r="BE172" s="461">
        <v>4.6935252567850547</v>
      </c>
      <c r="BF172" s="461">
        <v>1.8163057808458467</v>
      </c>
      <c r="BG172" s="461">
        <v>13.812579145123189</v>
      </c>
      <c r="BH172" s="461">
        <v>0.92607773467891474</v>
      </c>
      <c r="BI172" s="461">
        <v>0.46190690492548198</v>
      </c>
      <c r="BJ172" s="461">
        <v>1.0236107912201828</v>
      </c>
      <c r="BK172" s="480">
        <v>26.165671785837102</v>
      </c>
      <c r="BL172" s="461">
        <v>5.949304613173779</v>
      </c>
      <c r="BM172" s="461">
        <v>23.856296842704264</v>
      </c>
      <c r="BN172" s="461">
        <v>120.94034035064301</v>
      </c>
      <c r="BO172" s="461">
        <v>4.1013757920485805</v>
      </c>
      <c r="BP172" s="461">
        <v>6.6603870219451702</v>
      </c>
      <c r="BQ172" s="461">
        <v>27.92124832819556</v>
      </c>
      <c r="BR172" s="461">
        <v>1.2983693800953664</v>
      </c>
      <c r="BS172" s="461">
        <v>1.1935137574637273</v>
      </c>
      <c r="BT172" s="461">
        <v>1E-10</v>
      </c>
      <c r="BU172" s="461">
        <v>9.4444184638600728</v>
      </c>
      <c r="BV172" s="461">
        <v>18.312089286740783</v>
      </c>
      <c r="BW172" s="461">
        <v>176.88917182638619</v>
      </c>
      <c r="BX172" s="461">
        <v>81.960763179535888</v>
      </c>
      <c r="BY172" s="461">
        <v>390.59105781547498</v>
      </c>
      <c r="BZ172" s="461">
        <v>60.887207902797122</v>
      </c>
      <c r="CA172" s="461"/>
      <c r="CB172" s="461"/>
      <c r="CC172" s="461"/>
      <c r="CD172" s="461"/>
      <c r="CE172" s="461"/>
      <c r="CF172" s="461"/>
      <c r="CG172" s="461"/>
      <c r="CH172" s="461"/>
      <c r="CI172" s="461"/>
      <c r="CJ172" s="461"/>
      <c r="CK172" s="461"/>
      <c r="CL172" s="461"/>
      <c r="CM172" s="461"/>
      <c r="CN172" s="461"/>
      <c r="CO172" s="461"/>
      <c r="CP172" s="461"/>
      <c r="CQ172" s="461"/>
      <c r="CR172" s="461"/>
      <c r="CS172" s="461"/>
      <c r="CT172" s="461"/>
      <c r="CU172" s="461"/>
      <c r="CV172" s="461"/>
      <c r="CW172" s="461"/>
      <c r="CX172" s="461"/>
      <c r="CY172" s="461"/>
      <c r="CZ172" s="461"/>
      <c r="DA172" s="461"/>
      <c r="DB172" s="461"/>
      <c r="DC172" s="461"/>
      <c r="DD172" s="461"/>
      <c r="DE172" s="461"/>
      <c r="DF172" s="461"/>
      <c r="DG172" s="461"/>
      <c r="DH172" s="461"/>
      <c r="DI172" s="461"/>
      <c r="DJ172" s="461"/>
      <c r="DK172" s="461"/>
      <c r="DL172" s="461"/>
      <c r="DM172" s="461"/>
      <c r="DN172" s="461"/>
      <c r="DO172" s="461"/>
      <c r="DP172" s="461"/>
      <c r="DQ172" s="461"/>
      <c r="DR172" s="461"/>
      <c r="DS172" s="461"/>
      <c r="DT172" s="461"/>
      <c r="DU172" s="461"/>
      <c r="DV172" s="461"/>
      <c r="DW172" s="461"/>
      <c r="DX172" s="461"/>
      <c r="DY172" s="461"/>
      <c r="DZ172" s="461"/>
      <c r="EA172" s="461"/>
      <c r="EB172" s="461"/>
      <c r="EC172" s="461"/>
      <c r="ED172" s="461"/>
      <c r="EE172" s="461"/>
      <c r="EF172" s="461"/>
      <c r="EG172" s="461"/>
      <c r="EH172" s="461"/>
      <c r="EI172" s="461"/>
      <c r="EJ172" s="461"/>
      <c r="EK172" s="461"/>
      <c r="EL172" s="461"/>
      <c r="EM172" s="461"/>
      <c r="EN172" s="461"/>
      <c r="EO172" s="461"/>
      <c r="EP172" s="461"/>
      <c r="EQ172" s="461"/>
      <c r="ER172" s="461"/>
      <c r="ES172" s="461"/>
      <c r="ET172" s="461"/>
      <c r="EU172" s="461"/>
      <c r="EV172" s="461"/>
      <c r="EW172" s="461"/>
      <c r="EX172" s="461"/>
      <c r="EY172" s="461"/>
      <c r="EZ172" s="461"/>
      <c r="FA172" s="461"/>
      <c r="FB172" s="461"/>
      <c r="FC172" s="461"/>
      <c r="FD172" s="461"/>
      <c r="FE172" s="461"/>
      <c r="FF172" s="461"/>
      <c r="FG172" s="461"/>
      <c r="FH172" s="461"/>
      <c r="FI172" s="461"/>
      <c r="FJ172" s="461"/>
      <c r="FK172" s="461"/>
      <c r="FL172" s="461"/>
      <c r="FM172" s="461"/>
      <c r="FN172" s="461"/>
      <c r="FO172" s="461"/>
      <c r="FP172" s="461"/>
      <c r="FQ172" s="461"/>
      <c r="FR172" s="461"/>
      <c r="FS172" s="461"/>
      <c r="FT172" s="461"/>
      <c r="FU172" s="461"/>
      <c r="FV172" s="461"/>
      <c r="FW172" s="461"/>
      <c r="FX172" s="461"/>
      <c r="FY172" s="461"/>
      <c r="FZ172" s="461"/>
      <c r="GA172" s="461"/>
      <c r="GB172" s="461"/>
      <c r="GC172" s="461"/>
      <c r="GD172" s="469"/>
      <c r="GE172" s="469"/>
      <c r="GF172" s="469"/>
      <c r="GG172" s="469"/>
      <c r="GH172" s="469"/>
      <c r="GI172" s="469"/>
      <c r="GJ172" s="469"/>
      <c r="GK172" s="469">
        <v>6.1696889575191856</v>
      </c>
      <c r="GL172" s="469">
        <v>1182.2388354447937</v>
      </c>
      <c r="GM172" s="458"/>
      <c r="GN172" s="469"/>
      <c r="GO172" s="469"/>
      <c r="GP172" s="468"/>
    </row>
    <row r="173" spans="1:198" x14ac:dyDescent="0.25">
      <c r="A173" s="465" t="s">
        <v>1547</v>
      </c>
      <c r="B173" s="461">
        <v>0.97806245416650517</v>
      </c>
      <c r="C173" s="461">
        <v>3.8870961006884488</v>
      </c>
      <c r="D173" s="461">
        <v>0.23948299279966948</v>
      </c>
      <c r="E173" s="461">
        <v>2.2576100640045103</v>
      </c>
      <c r="F173" s="461">
        <v>4.857646374340014</v>
      </c>
      <c r="G173" s="461">
        <v>1.7631904211031579</v>
      </c>
      <c r="H173" s="461">
        <v>1.6112908260202445</v>
      </c>
      <c r="I173" s="461">
        <v>1.1690722395819948</v>
      </c>
      <c r="J173" s="461">
        <v>0.20538899970826191</v>
      </c>
      <c r="K173" s="461">
        <v>1.3726584373091941</v>
      </c>
      <c r="L173" s="461">
        <v>1.3493382932775526</v>
      </c>
      <c r="M173" s="461">
        <v>23.857587168071618</v>
      </c>
      <c r="N173" s="461">
        <v>3.220316924666685</v>
      </c>
      <c r="O173" s="461">
        <v>5.5986229806523822</v>
      </c>
      <c r="P173" s="461">
        <v>88.850509549902327</v>
      </c>
      <c r="Q173" s="461">
        <v>13.021832461987952</v>
      </c>
      <c r="R173" s="461">
        <v>0.55470370573933026</v>
      </c>
      <c r="S173" s="461">
        <v>60.76959320032153</v>
      </c>
      <c r="T173" s="461">
        <v>38.818411685150771</v>
      </c>
      <c r="U173" s="461">
        <v>33.512223397361382</v>
      </c>
      <c r="V173" s="461">
        <v>9.6154347163199265</v>
      </c>
      <c r="W173" s="461">
        <v>2.9840646513546187</v>
      </c>
      <c r="X173" s="461">
        <v>5.0851601914479971</v>
      </c>
      <c r="Y173" s="461">
        <v>2.7440855402015236</v>
      </c>
      <c r="Z173" s="461">
        <v>4.8831737503860175</v>
      </c>
      <c r="AA173" s="461">
        <v>3.9210336407856325</v>
      </c>
      <c r="AB173" s="461">
        <v>3.6928244391188221</v>
      </c>
      <c r="AC173" s="461">
        <v>5.5540511475393464</v>
      </c>
      <c r="AD173" s="461">
        <v>7.3376735641673738</v>
      </c>
      <c r="AE173" s="461">
        <v>3.2978298137087734</v>
      </c>
      <c r="AF173" s="461">
        <v>0.92159628304418284</v>
      </c>
      <c r="AG173" s="461">
        <v>0.54092996584131825</v>
      </c>
      <c r="AH173" s="461">
        <v>6.8190247987527464</v>
      </c>
      <c r="AI173" s="461">
        <v>19.068621952156946</v>
      </c>
      <c r="AJ173" s="461">
        <v>0.69478052692719738</v>
      </c>
      <c r="AK173" s="461">
        <v>0.17616784400711061</v>
      </c>
      <c r="AL173" s="461">
        <v>1.6002811363798153</v>
      </c>
      <c r="AM173" s="461">
        <v>0.27677213693260194</v>
      </c>
      <c r="AN173" s="461">
        <v>11.530199425683973</v>
      </c>
      <c r="AO173" s="461">
        <v>10.027358949842508</v>
      </c>
      <c r="AP173" s="461">
        <v>0.45928244743039054</v>
      </c>
      <c r="AQ173" s="461">
        <v>36.675505751423231</v>
      </c>
      <c r="AR173" s="461">
        <v>2.6211364984985462E-2</v>
      </c>
      <c r="AS173" s="461">
        <v>0.5390562340911994</v>
      </c>
      <c r="AT173" s="461">
        <v>4.8515061068207945</v>
      </c>
      <c r="AU173" s="461">
        <v>2.2031267128356382</v>
      </c>
      <c r="AV173" s="461">
        <v>2.2901271380529931</v>
      </c>
      <c r="AW173" s="461">
        <v>1.3473087002590334</v>
      </c>
      <c r="AX173" s="461">
        <v>6.3306767421565375</v>
      </c>
      <c r="AY173" s="461">
        <v>4.5558659439559097</v>
      </c>
      <c r="AZ173" s="461">
        <v>4.1636461895006533</v>
      </c>
      <c r="BA173" s="461">
        <v>2.1997215068796021</v>
      </c>
      <c r="BB173" s="461">
        <v>9.0336383486339944</v>
      </c>
      <c r="BC173" s="461">
        <v>0.24359999999999998</v>
      </c>
      <c r="BD173" s="461">
        <v>5.0224825810445975E-2</v>
      </c>
      <c r="BE173" s="461">
        <v>0.19015435402953873</v>
      </c>
      <c r="BF173" s="461">
        <v>2.8728711288850617</v>
      </c>
      <c r="BG173" s="461">
        <v>6.8659090139649113</v>
      </c>
      <c r="BH173" s="461">
        <v>0.71439021999743868</v>
      </c>
      <c r="BI173" s="461">
        <v>1.275131466013846</v>
      </c>
      <c r="BJ173" s="461">
        <v>19.001057158899513</v>
      </c>
      <c r="BK173" s="461"/>
      <c r="BL173" s="461">
        <v>26.776538045854792</v>
      </c>
      <c r="BM173" s="461">
        <v>68.514602265782671</v>
      </c>
      <c r="BN173" s="461">
        <v>227.61671763306015</v>
      </c>
      <c r="BO173" s="461">
        <v>20.32115589441996</v>
      </c>
      <c r="BP173" s="461">
        <v>42.941159980611083</v>
      </c>
      <c r="BQ173" s="461">
        <v>175.9887594785564</v>
      </c>
      <c r="BR173" s="461">
        <v>5.0425233957088471</v>
      </c>
      <c r="BS173" s="461">
        <v>4.4821754438904868</v>
      </c>
      <c r="BT173" s="461">
        <v>1E-10</v>
      </c>
      <c r="BU173" s="461">
        <v>27.28685192692679</v>
      </c>
      <c r="BV173" s="461">
        <v>50.175160989081725</v>
      </c>
      <c r="BW173" s="461">
        <v>172.7328869250104</v>
      </c>
      <c r="BX173" s="461">
        <v>217.03730695143088</v>
      </c>
      <c r="BY173" s="461">
        <v>102.18753396552303</v>
      </c>
      <c r="BZ173" s="461">
        <v>263.88660589989138</v>
      </c>
      <c r="CA173" s="461"/>
      <c r="CB173" s="461"/>
      <c r="CC173" s="461"/>
      <c r="CD173" s="461"/>
      <c r="CE173" s="461"/>
      <c r="CF173" s="461"/>
      <c r="CG173" s="461"/>
      <c r="CH173" s="461"/>
      <c r="CI173" s="461"/>
      <c r="CJ173" s="461"/>
      <c r="CK173" s="461"/>
      <c r="CL173" s="461"/>
      <c r="CM173" s="461"/>
      <c r="CN173" s="461"/>
      <c r="CO173" s="461"/>
      <c r="CP173" s="461"/>
      <c r="CQ173" s="461"/>
      <c r="CR173" s="461"/>
      <c r="CS173" s="461"/>
      <c r="CT173" s="461"/>
      <c r="CU173" s="461"/>
      <c r="CV173" s="461"/>
      <c r="CW173" s="461"/>
      <c r="CX173" s="461"/>
      <c r="CY173" s="461"/>
      <c r="CZ173" s="461"/>
      <c r="DA173" s="461"/>
      <c r="DB173" s="461"/>
      <c r="DC173" s="461"/>
      <c r="DD173" s="461"/>
      <c r="DE173" s="461"/>
      <c r="DF173" s="461"/>
      <c r="DG173" s="461"/>
      <c r="DH173" s="461"/>
      <c r="DI173" s="461"/>
      <c r="DJ173" s="461"/>
      <c r="DK173" s="461"/>
      <c r="DL173" s="461"/>
      <c r="DM173" s="461"/>
      <c r="DN173" s="461"/>
      <c r="DO173" s="461"/>
      <c r="DP173" s="461"/>
      <c r="DQ173" s="461"/>
      <c r="DR173" s="461"/>
      <c r="DS173" s="461"/>
      <c r="DT173" s="461"/>
      <c r="DU173" s="461"/>
      <c r="DV173" s="461"/>
      <c r="DW173" s="461"/>
      <c r="DX173" s="461"/>
      <c r="DY173" s="461"/>
      <c r="DZ173" s="461"/>
      <c r="EA173" s="461"/>
      <c r="EB173" s="461"/>
      <c r="EC173" s="461"/>
      <c r="ED173" s="461"/>
      <c r="EE173" s="461"/>
      <c r="EF173" s="461"/>
      <c r="EG173" s="461"/>
      <c r="EH173" s="461"/>
      <c r="EI173" s="461"/>
      <c r="EJ173" s="461"/>
      <c r="EK173" s="461"/>
      <c r="EL173" s="461"/>
      <c r="EM173" s="461"/>
      <c r="EN173" s="461"/>
      <c r="EO173" s="461"/>
      <c r="EP173" s="461"/>
      <c r="EQ173" s="461"/>
      <c r="ER173" s="461"/>
      <c r="ES173" s="461"/>
      <c r="ET173" s="461"/>
      <c r="EU173" s="461"/>
      <c r="EV173" s="461"/>
      <c r="EW173" s="461"/>
      <c r="EX173" s="461"/>
      <c r="EY173" s="461"/>
      <c r="EZ173" s="461"/>
      <c r="FA173" s="461"/>
      <c r="FB173" s="461"/>
      <c r="FC173" s="461"/>
      <c r="FD173" s="461"/>
      <c r="FE173" s="461"/>
      <c r="FF173" s="461"/>
      <c r="FG173" s="461"/>
      <c r="FH173" s="461"/>
      <c r="FI173" s="461"/>
      <c r="FJ173" s="461"/>
      <c r="FK173" s="461"/>
      <c r="FL173" s="461"/>
      <c r="FM173" s="461"/>
      <c r="FN173" s="461"/>
      <c r="FO173" s="461"/>
      <c r="FP173" s="461"/>
      <c r="FQ173" s="461"/>
      <c r="FR173" s="461"/>
      <c r="FS173" s="461"/>
      <c r="FT173" s="461"/>
      <c r="FU173" s="461"/>
      <c r="FV173" s="461"/>
      <c r="FW173" s="461"/>
      <c r="FX173" s="461"/>
      <c r="FY173" s="461"/>
      <c r="FZ173" s="461"/>
      <c r="GA173" s="461"/>
      <c r="GB173" s="461"/>
      <c r="GC173" s="461"/>
      <c r="GD173" s="469"/>
      <c r="GE173" s="469"/>
      <c r="GF173" s="469"/>
      <c r="GG173" s="469"/>
      <c r="GH173" s="469"/>
      <c r="GI173" s="469"/>
      <c r="GJ173" s="469"/>
      <c r="GK173" s="469">
        <v>105.68145824192327</v>
      </c>
      <c r="GL173" s="469">
        <v>2005.2261511438501</v>
      </c>
      <c r="GM173" s="458"/>
      <c r="GN173" s="469"/>
      <c r="GO173" s="469"/>
      <c r="GP173" s="468"/>
    </row>
    <row r="174" spans="1:198" x14ac:dyDescent="0.25">
      <c r="A174" s="465" t="s">
        <v>1546</v>
      </c>
      <c r="B174" s="461"/>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c r="AA174" s="461"/>
      <c r="AB174" s="461"/>
      <c r="AC174" s="461"/>
      <c r="AD174" s="461"/>
      <c r="AE174" s="461"/>
      <c r="AF174" s="461"/>
      <c r="AG174" s="461"/>
      <c r="AH174" s="461"/>
      <c r="AI174" s="461"/>
      <c r="AJ174" s="461"/>
      <c r="AK174" s="461"/>
      <c r="AL174" s="461"/>
      <c r="AM174" s="461"/>
      <c r="AN174" s="461"/>
      <c r="AO174" s="461"/>
      <c r="AP174" s="461"/>
      <c r="AQ174" s="461"/>
      <c r="AR174" s="461"/>
      <c r="AS174" s="461"/>
      <c r="AT174" s="461"/>
      <c r="AU174" s="461"/>
      <c r="AV174" s="461"/>
      <c r="AW174" s="461"/>
      <c r="AX174" s="461"/>
      <c r="AY174" s="461"/>
      <c r="AZ174" s="461"/>
      <c r="BA174" s="461"/>
      <c r="BB174" s="461"/>
      <c r="BC174" s="461"/>
      <c r="BD174" s="461"/>
      <c r="BE174" s="461"/>
      <c r="BF174" s="461"/>
      <c r="BG174" s="461"/>
      <c r="BH174" s="461"/>
      <c r="BI174" s="461"/>
      <c r="BJ174" s="461"/>
      <c r="BK174" s="461">
        <v>100.09082882522513</v>
      </c>
      <c r="BL174" s="461"/>
      <c r="BM174" s="461"/>
      <c r="BN174" s="461"/>
      <c r="BO174" s="461"/>
      <c r="BP174" s="461"/>
      <c r="BQ174" s="461"/>
      <c r="BR174" s="461"/>
      <c r="BS174" s="461"/>
      <c r="BT174" s="461"/>
      <c r="BU174" s="461"/>
      <c r="BV174" s="461"/>
      <c r="BW174" s="461"/>
      <c r="BX174" s="461"/>
      <c r="BY174" s="461"/>
      <c r="BZ174" s="461"/>
      <c r="CA174" s="461"/>
      <c r="CB174" s="461"/>
      <c r="CC174" s="461"/>
      <c r="CD174" s="461"/>
      <c r="CE174" s="461"/>
      <c r="CF174" s="461"/>
      <c r="CG174" s="461"/>
      <c r="CH174" s="461"/>
      <c r="CI174" s="461"/>
      <c r="CJ174" s="461"/>
      <c r="CK174" s="461"/>
      <c r="CL174" s="461"/>
      <c r="CM174" s="461"/>
      <c r="CN174" s="461"/>
      <c r="CO174" s="461"/>
      <c r="CP174" s="461"/>
      <c r="CQ174" s="461"/>
      <c r="CR174" s="461"/>
      <c r="CS174" s="461"/>
      <c r="CT174" s="461"/>
      <c r="CU174" s="461"/>
      <c r="CV174" s="461"/>
      <c r="CW174" s="461"/>
      <c r="CX174" s="461"/>
      <c r="CY174" s="461"/>
      <c r="CZ174" s="461"/>
      <c r="DA174" s="461"/>
      <c r="DB174" s="461"/>
      <c r="DC174" s="461"/>
      <c r="DD174" s="461"/>
      <c r="DE174" s="461"/>
      <c r="DF174" s="461"/>
      <c r="DG174" s="461"/>
      <c r="DH174" s="461"/>
      <c r="DI174" s="461"/>
      <c r="DJ174" s="461"/>
      <c r="DK174" s="461"/>
      <c r="DL174" s="461"/>
      <c r="DM174" s="461"/>
      <c r="DN174" s="461"/>
      <c r="DO174" s="461"/>
      <c r="DP174" s="461"/>
      <c r="DQ174" s="461"/>
      <c r="DR174" s="461"/>
      <c r="DS174" s="461"/>
      <c r="DT174" s="461"/>
      <c r="DU174" s="461"/>
      <c r="DV174" s="461"/>
      <c r="DW174" s="461"/>
      <c r="DX174" s="461"/>
      <c r="DY174" s="461"/>
      <c r="DZ174" s="461"/>
      <c r="EA174" s="461"/>
      <c r="EB174" s="461"/>
      <c r="EC174" s="461"/>
      <c r="ED174" s="461"/>
      <c r="EE174" s="461"/>
      <c r="EF174" s="461"/>
      <c r="EG174" s="461"/>
      <c r="EH174" s="461"/>
      <c r="EI174" s="461"/>
      <c r="EJ174" s="461"/>
      <c r="EK174" s="461"/>
      <c r="EL174" s="461"/>
      <c r="EM174" s="461"/>
      <c r="EN174" s="461"/>
      <c r="EO174" s="461"/>
      <c r="EP174" s="461"/>
      <c r="EQ174" s="461"/>
      <c r="ER174" s="461"/>
      <c r="ES174" s="461"/>
      <c r="ET174" s="461"/>
      <c r="EU174" s="461"/>
      <c r="EV174" s="461"/>
      <c r="EW174" s="461"/>
      <c r="EX174" s="461"/>
      <c r="EY174" s="461"/>
      <c r="EZ174" s="461"/>
      <c r="FA174" s="461"/>
      <c r="FB174" s="461"/>
      <c r="FC174" s="461"/>
      <c r="FD174" s="461"/>
      <c r="FE174" s="461"/>
      <c r="FF174" s="461"/>
      <c r="FG174" s="461"/>
      <c r="FH174" s="461"/>
      <c r="FI174" s="461"/>
      <c r="FJ174" s="461"/>
      <c r="FK174" s="461"/>
      <c r="FL174" s="461"/>
      <c r="FM174" s="461"/>
      <c r="FN174" s="461"/>
      <c r="FO174" s="461"/>
      <c r="FP174" s="461"/>
      <c r="FQ174" s="461"/>
      <c r="FR174" s="461"/>
      <c r="FS174" s="461"/>
      <c r="FT174" s="461"/>
      <c r="FU174" s="461"/>
      <c r="FV174" s="461"/>
      <c r="FW174" s="461"/>
      <c r="FX174" s="461"/>
      <c r="FY174" s="461"/>
      <c r="FZ174" s="461"/>
      <c r="GA174" s="461"/>
      <c r="GB174" s="461"/>
      <c r="GC174" s="461"/>
      <c r="GD174" s="469"/>
      <c r="GE174" s="469"/>
      <c r="GF174" s="469"/>
      <c r="GG174" s="469"/>
      <c r="GH174" s="469"/>
      <c r="GI174" s="469"/>
      <c r="GJ174" s="469"/>
      <c r="GK174" s="469"/>
      <c r="GL174" s="469">
        <v>100.09082882522513</v>
      </c>
      <c r="GM174" s="458"/>
      <c r="GN174" s="469"/>
      <c r="GO174" s="469"/>
      <c r="GP174" s="468"/>
    </row>
    <row r="175" spans="1:198" x14ac:dyDescent="0.25">
      <c r="A175" s="465" t="s">
        <v>2326</v>
      </c>
      <c r="B175" s="461">
        <v>1.1382703059961425</v>
      </c>
      <c r="C175" s="461">
        <v>5.1331948841128634</v>
      </c>
      <c r="D175" s="461">
        <v>0.45886113373766563</v>
      </c>
      <c r="E175" s="461">
        <v>0.32952191691360139</v>
      </c>
      <c r="F175" s="461">
        <v>0.39232473669485463</v>
      </c>
      <c r="G175" s="461">
        <v>0.28691173356701138</v>
      </c>
      <c r="H175" s="461">
        <v>2.5959173249352121</v>
      </c>
      <c r="I175" s="461">
        <v>0.18223274115150739</v>
      </c>
      <c r="J175" s="461">
        <v>0.16542095327787446</v>
      </c>
      <c r="K175" s="461">
        <v>0.88016088544925497</v>
      </c>
      <c r="L175" s="461">
        <v>5.4645221661823467</v>
      </c>
      <c r="M175" s="461"/>
      <c r="N175" s="461"/>
      <c r="O175" s="461"/>
      <c r="P175" s="461"/>
      <c r="Q175" s="461"/>
      <c r="R175" s="461"/>
      <c r="S175" s="461"/>
      <c r="T175" s="461"/>
      <c r="U175" s="461"/>
      <c r="V175" s="461"/>
      <c r="W175" s="461"/>
      <c r="X175" s="461"/>
      <c r="Y175" s="461"/>
      <c r="Z175" s="461"/>
      <c r="AA175" s="461"/>
      <c r="AB175" s="461"/>
      <c r="AC175" s="461"/>
      <c r="AD175" s="461"/>
      <c r="AE175" s="461"/>
      <c r="AF175" s="461"/>
      <c r="AG175" s="461"/>
      <c r="AH175" s="461"/>
      <c r="AI175" s="461"/>
      <c r="AJ175" s="461"/>
      <c r="AK175" s="461"/>
      <c r="AL175" s="461"/>
      <c r="AM175" s="461"/>
      <c r="AN175" s="461"/>
      <c r="AO175" s="461"/>
      <c r="AP175" s="461"/>
      <c r="AQ175" s="461"/>
      <c r="AR175" s="461"/>
      <c r="AS175" s="461"/>
      <c r="AT175" s="461"/>
      <c r="AU175" s="461"/>
      <c r="AV175" s="461"/>
      <c r="AW175" s="461"/>
      <c r="AX175" s="461"/>
      <c r="AY175" s="461"/>
      <c r="AZ175" s="461"/>
      <c r="BA175" s="461"/>
      <c r="BB175" s="461"/>
      <c r="BC175" s="461"/>
      <c r="BD175" s="461"/>
      <c r="BE175" s="461"/>
      <c r="BF175" s="461"/>
      <c r="BG175" s="461"/>
      <c r="BH175" s="461"/>
      <c r="BI175" s="461"/>
      <c r="BJ175" s="461"/>
      <c r="BK175" s="461"/>
      <c r="BL175" s="461"/>
      <c r="BM175" s="461"/>
      <c r="BN175" s="461"/>
      <c r="BO175" s="461"/>
      <c r="BP175" s="461"/>
      <c r="BQ175" s="461"/>
      <c r="BR175" s="461"/>
      <c r="BS175" s="461"/>
      <c r="BT175" s="461"/>
      <c r="BU175" s="461"/>
      <c r="BV175" s="461"/>
      <c r="BW175" s="461"/>
      <c r="BX175" s="461"/>
      <c r="BY175" s="461"/>
      <c r="BZ175" s="461"/>
      <c r="CA175" s="461"/>
      <c r="CB175" s="461"/>
      <c r="CC175" s="461"/>
      <c r="CD175" s="461"/>
      <c r="CE175" s="461"/>
      <c r="CF175" s="461"/>
      <c r="CG175" s="461"/>
      <c r="CH175" s="461"/>
      <c r="CI175" s="461"/>
      <c r="CJ175" s="461"/>
      <c r="CK175" s="461"/>
      <c r="CL175" s="461"/>
      <c r="CM175" s="461"/>
      <c r="CN175" s="461"/>
      <c r="CO175" s="461"/>
      <c r="CP175" s="461"/>
      <c r="CQ175" s="461"/>
      <c r="CR175" s="461"/>
      <c r="CS175" s="461"/>
      <c r="CT175" s="461"/>
      <c r="CU175" s="461"/>
      <c r="CV175" s="461"/>
      <c r="CW175" s="461"/>
      <c r="CX175" s="461"/>
      <c r="CY175" s="461"/>
      <c r="CZ175" s="461"/>
      <c r="DA175" s="461"/>
      <c r="DB175" s="461"/>
      <c r="DC175" s="461"/>
      <c r="DD175" s="461"/>
      <c r="DE175" s="461"/>
      <c r="DF175" s="461"/>
      <c r="DG175" s="461"/>
      <c r="DH175" s="461"/>
      <c r="DI175" s="461"/>
      <c r="DJ175" s="461"/>
      <c r="DK175" s="461"/>
      <c r="DL175" s="461"/>
      <c r="DM175" s="461"/>
      <c r="DN175" s="461"/>
      <c r="DO175" s="461"/>
      <c r="DP175" s="461"/>
      <c r="DQ175" s="461"/>
      <c r="DR175" s="461"/>
      <c r="DS175" s="461"/>
      <c r="DT175" s="461"/>
      <c r="DU175" s="461"/>
      <c r="DV175" s="461"/>
      <c r="DW175" s="461"/>
      <c r="DX175" s="461"/>
      <c r="DY175" s="461"/>
      <c r="DZ175" s="461"/>
      <c r="EA175" s="461"/>
      <c r="EB175" s="461"/>
      <c r="EC175" s="461"/>
      <c r="ED175" s="461"/>
      <c r="EE175" s="461"/>
      <c r="EF175" s="461"/>
      <c r="EG175" s="461"/>
      <c r="EH175" s="461"/>
      <c r="EI175" s="461"/>
      <c r="EJ175" s="461"/>
      <c r="EK175" s="461"/>
      <c r="EL175" s="461"/>
      <c r="EM175" s="461"/>
      <c r="EN175" s="461"/>
      <c r="EO175" s="461"/>
      <c r="EP175" s="461"/>
      <c r="EQ175" s="461"/>
      <c r="ER175" s="461"/>
      <c r="ES175" s="461"/>
      <c r="ET175" s="461"/>
      <c r="EU175" s="461"/>
      <c r="EV175" s="461"/>
      <c r="EW175" s="461"/>
      <c r="EX175" s="461"/>
      <c r="EY175" s="461"/>
      <c r="EZ175" s="461"/>
      <c r="FA175" s="461"/>
      <c r="FB175" s="461"/>
      <c r="FC175" s="461"/>
      <c r="FD175" s="461"/>
      <c r="FE175" s="461"/>
      <c r="FF175" s="461"/>
      <c r="FG175" s="461"/>
      <c r="FH175" s="461"/>
      <c r="FI175" s="461"/>
      <c r="FJ175" s="461"/>
      <c r="FK175" s="461"/>
      <c r="FL175" s="461"/>
      <c r="FM175" s="461"/>
      <c r="FN175" s="461"/>
      <c r="FO175" s="461"/>
      <c r="FP175" s="461"/>
      <c r="FQ175" s="461"/>
      <c r="FR175" s="461"/>
      <c r="FS175" s="461"/>
      <c r="FT175" s="461"/>
      <c r="FU175" s="461"/>
      <c r="FV175" s="461"/>
      <c r="FW175" s="461"/>
      <c r="FX175" s="461"/>
      <c r="FY175" s="461"/>
      <c r="FZ175" s="461"/>
      <c r="GA175" s="461"/>
      <c r="GB175" s="461"/>
      <c r="GC175" s="461"/>
      <c r="GD175" s="469"/>
      <c r="GE175" s="469"/>
      <c r="GF175" s="469"/>
      <c r="GG175" s="469"/>
      <c r="GH175" s="469"/>
      <c r="GI175" s="469"/>
      <c r="GJ175" s="469"/>
      <c r="GK175" s="469"/>
      <c r="GL175" s="469">
        <v>17.027338782018333</v>
      </c>
      <c r="GM175" s="458"/>
      <c r="GN175" s="469"/>
      <c r="GO175" s="469"/>
      <c r="GP175" s="468"/>
    </row>
    <row r="176" spans="1:198" x14ac:dyDescent="0.25">
      <c r="A176" s="465" t="s">
        <v>1545</v>
      </c>
      <c r="B176" s="461"/>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c r="AA176" s="461"/>
      <c r="AB176" s="461"/>
      <c r="AC176" s="461"/>
      <c r="AD176" s="461"/>
      <c r="AE176" s="461"/>
      <c r="AF176" s="461"/>
      <c r="AG176" s="461"/>
      <c r="AH176" s="461"/>
      <c r="AI176" s="461"/>
      <c r="AJ176" s="461"/>
      <c r="AK176" s="461"/>
      <c r="AL176" s="461"/>
      <c r="AM176" s="461"/>
      <c r="AN176" s="461"/>
      <c r="AO176" s="461"/>
      <c r="AP176" s="461"/>
      <c r="AQ176" s="461"/>
      <c r="AR176" s="461"/>
      <c r="AS176" s="461"/>
      <c r="AT176" s="461"/>
      <c r="AU176" s="461"/>
      <c r="AV176" s="461"/>
      <c r="AW176" s="461"/>
      <c r="AX176" s="461"/>
      <c r="AY176" s="461"/>
      <c r="AZ176" s="461"/>
      <c r="BA176" s="461"/>
      <c r="BB176" s="461"/>
      <c r="BC176" s="461"/>
      <c r="BD176" s="461"/>
      <c r="BE176" s="461"/>
      <c r="BF176" s="461"/>
      <c r="BG176" s="461"/>
      <c r="BH176" s="461"/>
      <c r="BI176" s="461"/>
      <c r="BJ176" s="461"/>
      <c r="BK176" s="461"/>
      <c r="BL176" s="461"/>
      <c r="BM176" s="461"/>
      <c r="BN176" s="461"/>
      <c r="BO176" s="461"/>
      <c r="BP176" s="461"/>
      <c r="BQ176" s="461"/>
      <c r="BR176" s="461"/>
      <c r="BS176" s="461"/>
      <c r="BT176" s="461"/>
      <c r="BU176" s="461"/>
      <c r="BV176" s="461"/>
      <c r="BW176" s="461"/>
      <c r="BX176" s="461"/>
      <c r="BY176" s="461"/>
      <c r="BZ176" s="461"/>
      <c r="CA176" s="461"/>
      <c r="CB176" s="461"/>
      <c r="CC176" s="461"/>
      <c r="CD176" s="461"/>
      <c r="CE176" s="461"/>
      <c r="CF176" s="461"/>
      <c r="CG176" s="461"/>
      <c r="CH176" s="461"/>
      <c r="CI176" s="461"/>
      <c r="CJ176" s="461"/>
      <c r="CK176" s="461"/>
      <c r="CL176" s="461"/>
      <c r="CM176" s="461"/>
      <c r="CN176" s="461"/>
      <c r="CO176" s="461"/>
      <c r="CP176" s="461"/>
      <c r="CQ176" s="461"/>
      <c r="CR176" s="461"/>
      <c r="CS176" s="461"/>
      <c r="CT176" s="461"/>
      <c r="CU176" s="461"/>
      <c r="CV176" s="461"/>
      <c r="CW176" s="461"/>
      <c r="CX176" s="461"/>
      <c r="CY176" s="461"/>
      <c r="CZ176" s="461"/>
      <c r="DA176" s="461"/>
      <c r="DB176" s="461"/>
      <c r="DC176" s="461"/>
      <c r="DD176" s="461"/>
      <c r="DE176" s="461"/>
      <c r="DF176" s="461"/>
      <c r="DG176" s="461"/>
      <c r="DH176" s="461"/>
      <c r="DI176" s="461"/>
      <c r="DJ176" s="461"/>
      <c r="DK176" s="461"/>
      <c r="DL176" s="461"/>
      <c r="DM176" s="461"/>
      <c r="DN176" s="461"/>
      <c r="DO176" s="461"/>
      <c r="DP176" s="461"/>
      <c r="DQ176" s="461"/>
      <c r="DR176" s="461"/>
      <c r="DS176" s="461"/>
      <c r="DT176" s="461"/>
      <c r="DU176" s="461"/>
      <c r="DV176" s="461"/>
      <c r="DW176" s="461"/>
      <c r="DX176" s="461"/>
      <c r="DY176" s="461"/>
      <c r="DZ176" s="461"/>
      <c r="EA176" s="461"/>
      <c r="EB176" s="461"/>
      <c r="EC176" s="461"/>
      <c r="ED176" s="461"/>
      <c r="EE176" s="461"/>
      <c r="EF176" s="461"/>
      <c r="EG176" s="461"/>
      <c r="EH176" s="461"/>
      <c r="EI176" s="461"/>
      <c r="EJ176" s="461"/>
      <c r="EK176" s="461"/>
      <c r="EL176" s="461"/>
      <c r="EM176" s="461"/>
      <c r="EN176" s="461"/>
      <c r="EO176" s="461"/>
      <c r="EP176" s="461"/>
      <c r="EQ176" s="461"/>
      <c r="ER176" s="461"/>
      <c r="ES176" s="461"/>
      <c r="ET176" s="461"/>
      <c r="EU176" s="461"/>
      <c r="EV176" s="461"/>
      <c r="EW176" s="461"/>
      <c r="EX176" s="461"/>
      <c r="EY176" s="461"/>
      <c r="EZ176" s="461"/>
      <c r="FA176" s="461"/>
      <c r="FB176" s="461"/>
      <c r="FC176" s="461"/>
      <c r="FD176" s="461"/>
      <c r="FE176" s="461"/>
      <c r="FF176" s="461"/>
      <c r="FG176" s="461"/>
      <c r="FH176" s="461"/>
      <c r="FI176" s="461"/>
      <c r="FJ176" s="461"/>
      <c r="FK176" s="461">
        <v>1041.5915495944157</v>
      </c>
      <c r="FL176" s="461"/>
      <c r="FM176" s="461"/>
      <c r="FN176" s="461">
        <v>254.78350367298722</v>
      </c>
      <c r="FO176" s="461"/>
      <c r="FP176" s="461">
        <v>7.28478834956406E-2</v>
      </c>
      <c r="FQ176" s="461">
        <v>0.29197611125090639</v>
      </c>
      <c r="FR176" s="461">
        <v>0.68023223463280857</v>
      </c>
      <c r="FS176" s="461">
        <v>1.5038326357862495</v>
      </c>
      <c r="FT176" s="461">
        <v>3.801203118276502</v>
      </c>
      <c r="FU176" s="461">
        <v>7.319306521411046</v>
      </c>
      <c r="FV176" s="461">
        <v>12.733111974458096</v>
      </c>
      <c r="FW176" s="461">
        <v>38.109372759574931</v>
      </c>
      <c r="FX176" s="461">
        <v>81.516985661524544</v>
      </c>
      <c r="FY176" s="461">
        <v>278.99814821802494</v>
      </c>
      <c r="FZ176" s="461">
        <v>523.59723218801673</v>
      </c>
      <c r="GA176" s="461"/>
      <c r="GB176" s="461"/>
      <c r="GC176" s="461"/>
      <c r="GD176" s="469"/>
      <c r="GE176" s="469">
        <v>-1.5987211554602254E-14</v>
      </c>
      <c r="GF176" s="469">
        <v>5.3290705182007514E-15</v>
      </c>
      <c r="GG176" s="469">
        <v>-6.5225602696727947E-16</v>
      </c>
      <c r="GH176" s="469"/>
      <c r="GI176" s="469"/>
      <c r="GJ176" s="469"/>
      <c r="GK176" s="469"/>
      <c r="GL176" s="469">
        <v>2244.9993025738554</v>
      </c>
      <c r="GM176" s="458"/>
      <c r="GN176" s="469"/>
      <c r="GO176" s="469"/>
      <c r="GP176" s="468"/>
    </row>
    <row r="177" spans="1:198" x14ac:dyDescent="0.25">
      <c r="A177" s="465" t="s">
        <v>1544</v>
      </c>
      <c r="B177" s="461"/>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c r="AA177" s="461"/>
      <c r="AB177" s="461"/>
      <c r="AC177" s="461"/>
      <c r="AD177" s="461"/>
      <c r="AE177" s="461"/>
      <c r="AF177" s="461"/>
      <c r="AG177" s="461"/>
      <c r="AH177" s="461"/>
      <c r="AI177" s="461"/>
      <c r="AJ177" s="461"/>
      <c r="AK177" s="461"/>
      <c r="AL177" s="461"/>
      <c r="AM177" s="461"/>
      <c r="AN177" s="461"/>
      <c r="AO177" s="461"/>
      <c r="AP177" s="461"/>
      <c r="AQ177" s="461"/>
      <c r="AR177" s="461"/>
      <c r="AS177" s="461"/>
      <c r="AT177" s="461"/>
      <c r="AU177" s="461"/>
      <c r="AV177" s="461"/>
      <c r="AW177" s="461"/>
      <c r="AX177" s="461"/>
      <c r="AY177" s="461"/>
      <c r="AZ177" s="461"/>
      <c r="BA177" s="461"/>
      <c r="BB177" s="461"/>
      <c r="BC177" s="461"/>
      <c r="BD177" s="461"/>
      <c r="BE177" s="461"/>
      <c r="BF177" s="461"/>
      <c r="BG177" s="461"/>
      <c r="BH177" s="461"/>
      <c r="BI177" s="461"/>
      <c r="BJ177" s="461"/>
      <c r="BK177" s="461"/>
      <c r="BL177" s="461"/>
      <c r="BM177" s="461"/>
      <c r="BN177" s="461"/>
      <c r="BO177" s="461"/>
      <c r="BP177" s="461"/>
      <c r="BQ177" s="461"/>
      <c r="BR177" s="461"/>
      <c r="BS177" s="461"/>
      <c r="BT177" s="461"/>
      <c r="BU177" s="461"/>
      <c r="BV177" s="461"/>
      <c r="BW177" s="461"/>
      <c r="BX177" s="461"/>
      <c r="BY177" s="461"/>
      <c r="BZ177" s="461"/>
      <c r="CA177" s="461"/>
      <c r="CB177" s="461"/>
      <c r="CC177" s="461"/>
      <c r="CD177" s="461"/>
      <c r="CE177" s="461"/>
      <c r="CF177" s="461"/>
      <c r="CG177" s="461"/>
      <c r="CH177" s="461"/>
      <c r="CI177" s="461"/>
      <c r="CJ177" s="461"/>
      <c r="CK177" s="461"/>
      <c r="CL177" s="461"/>
      <c r="CM177" s="461"/>
      <c r="CN177" s="461"/>
      <c r="CO177" s="461"/>
      <c r="CP177" s="461"/>
      <c r="CQ177" s="461"/>
      <c r="CR177" s="461"/>
      <c r="CS177" s="461"/>
      <c r="CT177" s="461"/>
      <c r="CU177" s="461"/>
      <c r="CV177" s="461"/>
      <c r="CW177" s="461"/>
      <c r="CX177" s="461"/>
      <c r="CY177" s="461"/>
      <c r="CZ177" s="461"/>
      <c r="DA177" s="461"/>
      <c r="DB177" s="461"/>
      <c r="DC177" s="461"/>
      <c r="DD177" s="461"/>
      <c r="DE177" s="461"/>
      <c r="DF177" s="461"/>
      <c r="DG177" s="461"/>
      <c r="DH177" s="461"/>
      <c r="DI177" s="461"/>
      <c r="DJ177" s="461"/>
      <c r="DK177" s="461"/>
      <c r="DL177" s="461"/>
      <c r="DM177" s="461"/>
      <c r="DN177" s="461"/>
      <c r="DO177" s="461"/>
      <c r="DP177" s="461"/>
      <c r="DQ177" s="461"/>
      <c r="DR177" s="461"/>
      <c r="DS177" s="461"/>
      <c r="DT177" s="461"/>
      <c r="DU177" s="461"/>
      <c r="DV177" s="461"/>
      <c r="DW177" s="461"/>
      <c r="DX177" s="461"/>
      <c r="DY177" s="461"/>
      <c r="DZ177" s="461"/>
      <c r="EA177" s="461"/>
      <c r="EB177" s="461"/>
      <c r="EC177" s="461"/>
      <c r="ED177" s="461"/>
      <c r="EE177" s="461"/>
      <c r="EF177" s="461"/>
      <c r="EG177" s="461"/>
      <c r="EH177" s="461"/>
      <c r="EI177" s="461"/>
      <c r="EJ177" s="461"/>
      <c r="EK177" s="461"/>
      <c r="EL177" s="461"/>
      <c r="EM177" s="461"/>
      <c r="EN177" s="461"/>
      <c r="EO177" s="461"/>
      <c r="EP177" s="461"/>
      <c r="EQ177" s="461"/>
      <c r="ER177" s="461"/>
      <c r="ES177" s="461"/>
      <c r="ET177" s="461"/>
      <c r="EU177" s="461"/>
      <c r="EV177" s="461"/>
      <c r="EW177" s="461"/>
      <c r="EX177" s="461"/>
      <c r="EY177" s="461"/>
      <c r="EZ177" s="461"/>
      <c r="FA177" s="461"/>
      <c r="FB177" s="461"/>
      <c r="FC177" s="461"/>
      <c r="FD177" s="461"/>
      <c r="FE177" s="461"/>
      <c r="FF177" s="461"/>
      <c r="FG177" s="461"/>
      <c r="FH177" s="461"/>
      <c r="FI177" s="461"/>
      <c r="FJ177" s="461"/>
      <c r="FK177" s="461"/>
      <c r="FL177" s="461">
        <v>100.09082882522513</v>
      </c>
      <c r="FM177" s="461"/>
      <c r="FN177" s="461"/>
      <c r="FO177" s="461"/>
      <c r="FP177" s="461"/>
      <c r="FQ177" s="461"/>
      <c r="FR177" s="461"/>
      <c r="FS177" s="461"/>
      <c r="FT177" s="461"/>
      <c r="FU177" s="461"/>
      <c r="FV177" s="461"/>
      <c r="FW177" s="461"/>
      <c r="FX177" s="461"/>
      <c r="FY177" s="461"/>
      <c r="FZ177" s="461"/>
      <c r="GA177" s="461"/>
      <c r="GB177" s="461"/>
      <c r="GC177" s="461"/>
      <c r="GD177" s="469"/>
      <c r="GE177" s="469"/>
      <c r="GF177" s="469"/>
      <c r="GG177" s="469"/>
      <c r="GH177" s="469"/>
      <c r="GI177" s="469"/>
      <c r="GJ177" s="469"/>
      <c r="GK177" s="469"/>
      <c r="GL177" s="469">
        <v>100.09082882522513</v>
      </c>
      <c r="GM177" s="458"/>
      <c r="GN177" s="469"/>
      <c r="GO177" s="469"/>
      <c r="GP177" s="468"/>
    </row>
    <row r="178" spans="1:198" x14ac:dyDescent="0.25">
      <c r="A178" s="465" t="s">
        <v>1543</v>
      </c>
      <c r="B178" s="461"/>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c r="AD178" s="461"/>
      <c r="AE178" s="461"/>
      <c r="AF178" s="461"/>
      <c r="AG178" s="461"/>
      <c r="AH178" s="461"/>
      <c r="AI178" s="461"/>
      <c r="AJ178" s="461"/>
      <c r="AK178" s="461"/>
      <c r="AL178" s="461"/>
      <c r="AM178" s="461"/>
      <c r="AN178" s="461"/>
      <c r="AO178" s="461"/>
      <c r="AP178" s="461"/>
      <c r="AQ178" s="461"/>
      <c r="AR178" s="461"/>
      <c r="AS178" s="461"/>
      <c r="AT178" s="461"/>
      <c r="AU178" s="461"/>
      <c r="AV178" s="461"/>
      <c r="AW178" s="461"/>
      <c r="AX178" s="461"/>
      <c r="AY178" s="461"/>
      <c r="AZ178" s="461"/>
      <c r="BA178" s="461"/>
      <c r="BB178" s="461"/>
      <c r="BC178" s="461"/>
      <c r="BD178" s="461"/>
      <c r="BE178" s="461"/>
      <c r="BF178" s="461"/>
      <c r="BG178" s="461"/>
      <c r="BH178" s="461"/>
      <c r="BI178" s="461"/>
      <c r="BJ178" s="461"/>
      <c r="BK178" s="461"/>
      <c r="BL178" s="461"/>
      <c r="BM178" s="461"/>
      <c r="BN178" s="461"/>
      <c r="BO178" s="461"/>
      <c r="BP178" s="461"/>
      <c r="BQ178" s="461"/>
      <c r="BR178" s="461"/>
      <c r="BS178" s="461"/>
      <c r="BT178" s="461"/>
      <c r="BU178" s="461"/>
      <c r="BV178" s="461"/>
      <c r="BW178" s="461"/>
      <c r="BX178" s="461"/>
      <c r="BY178" s="461"/>
      <c r="BZ178" s="461"/>
      <c r="CA178" s="461"/>
      <c r="CB178" s="461"/>
      <c r="CC178" s="461"/>
      <c r="CD178" s="461"/>
      <c r="CE178" s="461"/>
      <c r="CF178" s="461"/>
      <c r="CG178" s="461"/>
      <c r="CH178" s="461"/>
      <c r="CI178" s="461"/>
      <c r="CJ178" s="461"/>
      <c r="CK178" s="461"/>
      <c r="CL178" s="461"/>
      <c r="CM178" s="461"/>
      <c r="CN178" s="461"/>
      <c r="CO178" s="461"/>
      <c r="CP178" s="461"/>
      <c r="CQ178" s="461"/>
      <c r="CR178" s="461"/>
      <c r="CS178" s="461"/>
      <c r="CT178" s="461"/>
      <c r="CU178" s="461"/>
      <c r="CV178" s="461"/>
      <c r="CW178" s="461"/>
      <c r="CX178" s="461"/>
      <c r="CY178" s="461"/>
      <c r="CZ178" s="461"/>
      <c r="DA178" s="461"/>
      <c r="DB178" s="461"/>
      <c r="DC178" s="461"/>
      <c r="DD178" s="461"/>
      <c r="DE178" s="461"/>
      <c r="DF178" s="461"/>
      <c r="DG178" s="461"/>
      <c r="DH178" s="461"/>
      <c r="DI178" s="461"/>
      <c r="DJ178" s="461"/>
      <c r="DK178" s="461"/>
      <c r="DL178" s="461"/>
      <c r="DM178" s="461"/>
      <c r="DN178" s="461"/>
      <c r="DO178" s="461"/>
      <c r="DP178" s="461"/>
      <c r="DQ178" s="461"/>
      <c r="DR178" s="461"/>
      <c r="DS178" s="461"/>
      <c r="DT178" s="461"/>
      <c r="DU178" s="461"/>
      <c r="DV178" s="461"/>
      <c r="DW178" s="461"/>
      <c r="DX178" s="461"/>
      <c r="DY178" s="461"/>
      <c r="DZ178" s="461"/>
      <c r="EA178" s="461"/>
      <c r="EB178" s="461"/>
      <c r="EC178" s="461"/>
      <c r="ED178" s="461"/>
      <c r="EE178" s="461"/>
      <c r="EF178" s="461"/>
      <c r="EG178" s="461"/>
      <c r="EH178" s="461"/>
      <c r="EI178" s="461"/>
      <c r="EJ178" s="461"/>
      <c r="EK178" s="461"/>
      <c r="EL178" s="461"/>
      <c r="EM178" s="461"/>
      <c r="EN178" s="461"/>
      <c r="EO178" s="461"/>
      <c r="EP178" s="461"/>
      <c r="EQ178" s="461"/>
      <c r="ER178" s="461"/>
      <c r="ES178" s="461"/>
      <c r="ET178" s="461"/>
      <c r="EU178" s="461"/>
      <c r="EV178" s="461"/>
      <c r="EW178" s="461"/>
      <c r="EX178" s="461"/>
      <c r="EY178" s="461"/>
      <c r="EZ178" s="461"/>
      <c r="FA178" s="461"/>
      <c r="FB178" s="461"/>
      <c r="FC178" s="461"/>
      <c r="FD178" s="461"/>
      <c r="FE178" s="461"/>
      <c r="FF178" s="461"/>
      <c r="FG178" s="461">
        <v>15.854084684063888</v>
      </c>
      <c r="FH178" s="461">
        <v>11.119783864407456</v>
      </c>
      <c r="FI178" s="461">
        <v>1.193994342799749</v>
      </c>
      <c r="FJ178" s="461">
        <v>4.7182700697998174E-2</v>
      </c>
      <c r="FK178" s="461">
        <v>1.6938609165563863</v>
      </c>
      <c r="FL178" s="461"/>
      <c r="FM178" s="461">
        <v>3.513320563304325E-2</v>
      </c>
      <c r="FN178" s="461">
        <v>0.98403448363468649</v>
      </c>
      <c r="FO178" s="461"/>
      <c r="FP178" s="461"/>
      <c r="FQ178" s="461"/>
      <c r="FR178" s="461"/>
      <c r="FS178" s="461"/>
      <c r="FT178" s="461"/>
      <c r="FU178" s="461"/>
      <c r="FV178" s="461"/>
      <c r="FW178" s="461"/>
      <c r="FX178" s="461"/>
      <c r="FY178" s="461"/>
      <c r="FZ178" s="461">
        <v>49.896446161791829</v>
      </c>
      <c r="GA178" s="461"/>
      <c r="GB178" s="461"/>
      <c r="GC178" s="461"/>
      <c r="GD178" s="469"/>
      <c r="GE178" s="469"/>
      <c r="GF178" s="469"/>
      <c r="GG178" s="469"/>
      <c r="GH178" s="469"/>
      <c r="GI178" s="469"/>
      <c r="GJ178" s="469"/>
      <c r="GK178" s="469">
        <v>3.1696404596238792E-2</v>
      </c>
      <c r="GL178" s="469">
        <v>80.856216764181269</v>
      </c>
      <c r="GM178" s="458"/>
      <c r="GN178" s="469"/>
      <c r="GO178" s="469"/>
      <c r="GP178" s="468"/>
    </row>
    <row r="179" spans="1:198" x14ac:dyDescent="0.25">
      <c r="A179" s="465" t="s">
        <v>1542</v>
      </c>
      <c r="B179" s="461"/>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c r="AA179" s="461"/>
      <c r="AB179" s="461"/>
      <c r="AC179" s="461"/>
      <c r="AD179" s="461"/>
      <c r="AE179" s="461"/>
      <c r="AF179" s="461"/>
      <c r="AG179" s="461"/>
      <c r="AH179" s="461"/>
      <c r="AI179" s="461"/>
      <c r="AJ179" s="461"/>
      <c r="AK179" s="461"/>
      <c r="AL179" s="461"/>
      <c r="AM179" s="461"/>
      <c r="AN179" s="461"/>
      <c r="AO179" s="461"/>
      <c r="AP179" s="461"/>
      <c r="AQ179" s="461"/>
      <c r="AR179" s="461"/>
      <c r="AS179" s="461"/>
      <c r="AT179" s="461"/>
      <c r="AU179" s="461"/>
      <c r="AV179" s="461"/>
      <c r="AW179" s="461"/>
      <c r="AX179" s="461"/>
      <c r="AY179" s="461"/>
      <c r="AZ179" s="461"/>
      <c r="BA179" s="461"/>
      <c r="BB179" s="461"/>
      <c r="BC179" s="461"/>
      <c r="BD179" s="461"/>
      <c r="BE179" s="461"/>
      <c r="BF179" s="461"/>
      <c r="BG179" s="461"/>
      <c r="BH179" s="461"/>
      <c r="BI179" s="461"/>
      <c r="BJ179" s="461"/>
      <c r="BK179" s="461"/>
      <c r="BL179" s="461"/>
      <c r="BM179" s="461"/>
      <c r="BN179" s="461"/>
      <c r="BO179" s="461"/>
      <c r="BP179" s="461"/>
      <c r="BQ179" s="461"/>
      <c r="BR179" s="461"/>
      <c r="BS179" s="461"/>
      <c r="BT179" s="461"/>
      <c r="BU179" s="461"/>
      <c r="BV179" s="461"/>
      <c r="BW179" s="461"/>
      <c r="BX179" s="461"/>
      <c r="BY179" s="461"/>
      <c r="BZ179" s="461"/>
      <c r="CA179" s="461"/>
      <c r="CB179" s="461"/>
      <c r="CC179" s="461"/>
      <c r="CD179" s="461"/>
      <c r="CE179" s="461"/>
      <c r="CF179" s="461"/>
      <c r="CG179" s="461"/>
      <c r="CH179" s="461"/>
      <c r="CI179" s="461"/>
      <c r="CJ179" s="461"/>
      <c r="CK179" s="461"/>
      <c r="CL179" s="461"/>
      <c r="CM179" s="461"/>
      <c r="CN179" s="461"/>
      <c r="CO179" s="461"/>
      <c r="CP179" s="461"/>
      <c r="CQ179" s="461"/>
      <c r="CR179" s="461"/>
      <c r="CS179" s="461"/>
      <c r="CT179" s="461"/>
      <c r="CU179" s="461"/>
      <c r="CV179" s="461"/>
      <c r="CW179" s="461"/>
      <c r="CX179" s="461"/>
      <c r="CY179" s="461"/>
      <c r="CZ179" s="461"/>
      <c r="DA179" s="461"/>
      <c r="DB179" s="461"/>
      <c r="DC179" s="461"/>
      <c r="DD179" s="461"/>
      <c r="DE179" s="461"/>
      <c r="DF179" s="461"/>
      <c r="DG179" s="461"/>
      <c r="DH179" s="461"/>
      <c r="DI179" s="461"/>
      <c r="DJ179" s="461"/>
      <c r="DK179" s="461"/>
      <c r="DL179" s="461"/>
      <c r="DM179" s="461"/>
      <c r="DN179" s="461"/>
      <c r="DO179" s="461"/>
      <c r="DP179" s="461"/>
      <c r="DQ179" s="461"/>
      <c r="DR179" s="461"/>
      <c r="DS179" s="461"/>
      <c r="DT179" s="461"/>
      <c r="DU179" s="461"/>
      <c r="DV179" s="461"/>
      <c r="DW179" s="461"/>
      <c r="DX179" s="461"/>
      <c r="DY179" s="461"/>
      <c r="DZ179" s="461"/>
      <c r="EA179" s="461"/>
      <c r="EB179" s="461"/>
      <c r="EC179" s="461"/>
      <c r="ED179" s="461"/>
      <c r="EE179" s="461"/>
      <c r="EF179" s="461"/>
      <c r="EG179" s="461"/>
      <c r="EH179" s="461"/>
      <c r="EI179" s="461"/>
      <c r="EJ179" s="461"/>
      <c r="EK179" s="461"/>
      <c r="EL179" s="461"/>
      <c r="EM179" s="461"/>
      <c r="EN179" s="461"/>
      <c r="EO179" s="461"/>
      <c r="EP179" s="461"/>
      <c r="EQ179" s="461"/>
      <c r="ER179" s="461"/>
      <c r="ES179" s="461"/>
      <c r="ET179" s="461"/>
      <c r="EU179" s="461"/>
      <c r="EV179" s="461"/>
      <c r="EW179" s="461"/>
      <c r="EX179" s="461"/>
      <c r="EY179" s="461"/>
      <c r="EZ179" s="461"/>
      <c r="FA179" s="461"/>
      <c r="FB179" s="461"/>
      <c r="FC179" s="461"/>
      <c r="FD179" s="461"/>
      <c r="FE179" s="461"/>
      <c r="FF179" s="461"/>
      <c r="FG179" s="461">
        <v>20.398650327329417</v>
      </c>
      <c r="FH179" s="461">
        <v>15.624100518879317</v>
      </c>
      <c r="FI179" s="461">
        <v>4.7051007754271952</v>
      </c>
      <c r="FJ179" s="461">
        <v>0.54932135813544769</v>
      </c>
      <c r="FK179" s="461">
        <v>4.4889620985875549</v>
      </c>
      <c r="FL179" s="461"/>
      <c r="FM179" s="461">
        <v>6.061266261246253E-2</v>
      </c>
      <c r="FN179" s="461">
        <v>2.152192095803092</v>
      </c>
      <c r="FO179" s="461"/>
      <c r="FP179" s="461"/>
      <c r="FQ179" s="461"/>
      <c r="FR179" s="461"/>
      <c r="FS179" s="461"/>
      <c r="FT179" s="461"/>
      <c r="FU179" s="461"/>
      <c r="FV179" s="461"/>
      <c r="FW179" s="461"/>
      <c r="FX179" s="461"/>
      <c r="FY179" s="461"/>
      <c r="FZ179" s="461">
        <v>63.273802492715156</v>
      </c>
      <c r="GA179" s="461"/>
      <c r="GB179" s="461"/>
      <c r="GC179" s="461"/>
      <c r="GD179" s="469"/>
      <c r="GE179" s="469"/>
      <c r="GF179" s="469"/>
      <c r="GG179" s="469"/>
      <c r="GH179" s="469"/>
      <c r="GI179" s="469"/>
      <c r="GJ179" s="469"/>
      <c r="GK179" s="469">
        <v>6.9306903650612706E-2</v>
      </c>
      <c r="GL179" s="469">
        <v>111.32204923314026</v>
      </c>
      <c r="GM179" s="458"/>
      <c r="GN179" s="469"/>
      <c r="GO179" s="469"/>
      <c r="GP179" s="468"/>
    </row>
    <row r="180" spans="1:198" x14ac:dyDescent="0.25">
      <c r="A180" s="465" t="s">
        <v>1541</v>
      </c>
      <c r="B180" s="461"/>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c r="AA180" s="461"/>
      <c r="AB180" s="461"/>
      <c r="AC180" s="461"/>
      <c r="AD180" s="461"/>
      <c r="AE180" s="461"/>
      <c r="AF180" s="461"/>
      <c r="AG180" s="461"/>
      <c r="AH180" s="461"/>
      <c r="AI180" s="461"/>
      <c r="AJ180" s="461"/>
      <c r="AK180" s="461"/>
      <c r="AL180" s="461"/>
      <c r="AM180" s="461"/>
      <c r="AN180" s="461"/>
      <c r="AO180" s="461"/>
      <c r="AP180" s="461"/>
      <c r="AQ180" s="461"/>
      <c r="AR180" s="461"/>
      <c r="AS180" s="461"/>
      <c r="AT180" s="461"/>
      <c r="AU180" s="461"/>
      <c r="AV180" s="461"/>
      <c r="AW180" s="461"/>
      <c r="AX180" s="461"/>
      <c r="AY180" s="461"/>
      <c r="AZ180" s="461"/>
      <c r="BA180" s="461"/>
      <c r="BB180" s="461"/>
      <c r="BC180" s="461"/>
      <c r="BD180" s="461"/>
      <c r="BE180" s="461"/>
      <c r="BF180" s="461"/>
      <c r="BG180" s="461"/>
      <c r="BH180" s="461"/>
      <c r="BI180" s="461"/>
      <c r="BJ180" s="461"/>
      <c r="BK180" s="461"/>
      <c r="BL180" s="461"/>
      <c r="BM180" s="461"/>
      <c r="BN180" s="461"/>
      <c r="BO180" s="461"/>
      <c r="BP180" s="461"/>
      <c r="BQ180" s="461"/>
      <c r="BR180" s="461"/>
      <c r="BS180" s="461"/>
      <c r="BT180" s="461"/>
      <c r="BU180" s="461"/>
      <c r="BV180" s="461"/>
      <c r="BW180" s="461"/>
      <c r="BX180" s="461"/>
      <c r="BY180" s="461"/>
      <c r="BZ180" s="461"/>
      <c r="CA180" s="461"/>
      <c r="CB180" s="461"/>
      <c r="CC180" s="461"/>
      <c r="CD180" s="461"/>
      <c r="CE180" s="461"/>
      <c r="CF180" s="461"/>
      <c r="CG180" s="461"/>
      <c r="CH180" s="461"/>
      <c r="CI180" s="461"/>
      <c r="CJ180" s="461"/>
      <c r="CK180" s="461"/>
      <c r="CL180" s="461"/>
      <c r="CM180" s="461"/>
      <c r="CN180" s="461"/>
      <c r="CO180" s="461"/>
      <c r="CP180" s="461"/>
      <c r="CQ180" s="461"/>
      <c r="CR180" s="461"/>
      <c r="CS180" s="461"/>
      <c r="CT180" s="461"/>
      <c r="CU180" s="461"/>
      <c r="CV180" s="461"/>
      <c r="CW180" s="461"/>
      <c r="CX180" s="461"/>
      <c r="CY180" s="461"/>
      <c r="CZ180" s="461"/>
      <c r="DA180" s="461"/>
      <c r="DB180" s="461"/>
      <c r="DC180" s="461"/>
      <c r="DD180" s="461"/>
      <c r="DE180" s="461"/>
      <c r="DF180" s="461"/>
      <c r="DG180" s="461"/>
      <c r="DH180" s="461"/>
      <c r="DI180" s="461"/>
      <c r="DJ180" s="461"/>
      <c r="DK180" s="461"/>
      <c r="DL180" s="461"/>
      <c r="DM180" s="461"/>
      <c r="DN180" s="461"/>
      <c r="DO180" s="461"/>
      <c r="DP180" s="461"/>
      <c r="DQ180" s="461"/>
      <c r="DR180" s="461"/>
      <c r="DS180" s="461"/>
      <c r="DT180" s="461"/>
      <c r="DU180" s="461"/>
      <c r="DV180" s="461"/>
      <c r="DW180" s="461"/>
      <c r="DX180" s="461"/>
      <c r="DY180" s="461"/>
      <c r="DZ180" s="461"/>
      <c r="EA180" s="461"/>
      <c r="EB180" s="461"/>
      <c r="EC180" s="461"/>
      <c r="ED180" s="461"/>
      <c r="EE180" s="461"/>
      <c r="EF180" s="461"/>
      <c r="EG180" s="461"/>
      <c r="EH180" s="461"/>
      <c r="EI180" s="461"/>
      <c r="EJ180" s="461"/>
      <c r="EK180" s="461"/>
      <c r="EL180" s="461"/>
      <c r="EM180" s="461"/>
      <c r="EN180" s="461"/>
      <c r="EO180" s="461"/>
      <c r="EP180" s="461"/>
      <c r="EQ180" s="461"/>
      <c r="ER180" s="461"/>
      <c r="ES180" s="461"/>
      <c r="ET180" s="461"/>
      <c r="EU180" s="461"/>
      <c r="EV180" s="461"/>
      <c r="EW180" s="461"/>
      <c r="EX180" s="461"/>
      <c r="EY180" s="461"/>
      <c r="EZ180" s="461"/>
      <c r="FA180" s="461"/>
      <c r="FB180" s="461"/>
      <c r="FC180" s="461"/>
      <c r="FD180" s="461"/>
      <c r="FE180" s="461"/>
      <c r="FF180" s="461"/>
      <c r="FG180" s="461">
        <v>16.271345034460001</v>
      </c>
      <c r="FH180" s="461">
        <v>21.925738572648925</v>
      </c>
      <c r="FI180" s="461">
        <v>9.7180945130969594</v>
      </c>
      <c r="FJ180" s="461">
        <v>1.2620182531151383</v>
      </c>
      <c r="FK180" s="461">
        <v>7.4576274283544608</v>
      </c>
      <c r="FL180" s="461"/>
      <c r="FM180" s="461">
        <v>0.1191770029447686</v>
      </c>
      <c r="FN180" s="461">
        <v>4.7449416502754369</v>
      </c>
      <c r="FO180" s="461"/>
      <c r="FP180" s="461"/>
      <c r="FQ180" s="461"/>
      <c r="FR180" s="461"/>
      <c r="FS180" s="461"/>
      <c r="FT180" s="461"/>
      <c r="FU180" s="461"/>
      <c r="FV180" s="461"/>
      <c r="FW180" s="461"/>
      <c r="FX180" s="461"/>
      <c r="FY180" s="461"/>
      <c r="FZ180" s="461">
        <v>69.050136868383078</v>
      </c>
      <c r="GA180" s="461"/>
      <c r="GB180" s="461"/>
      <c r="GC180" s="461"/>
      <c r="GD180" s="469"/>
      <c r="GE180" s="469"/>
      <c r="GF180" s="469"/>
      <c r="GG180" s="469"/>
      <c r="GH180" s="469"/>
      <c r="GI180" s="469"/>
      <c r="GJ180" s="469"/>
      <c r="GK180" s="469">
        <v>0.1526401482159456</v>
      </c>
      <c r="GL180" s="469">
        <v>130.7017194714947</v>
      </c>
      <c r="GM180" s="458"/>
      <c r="GN180" s="469"/>
      <c r="GO180" s="469"/>
      <c r="GP180" s="468"/>
    </row>
    <row r="181" spans="1:198" x14ac:dyDescent="0.25">
      <c r="A181" s="465" t="s">
        <v>1540</v>
      </c>
      <c r="B181" s="461"/>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c r="AB181" s="461"/>
      <c r="AC181" s="461"/>
      <c r="AD181" s="461"/>
      <c r="AE181" s="461"/>
      <c r="AF181" s="461"/>
      <c r="AG181" s="461"/>
      <c r="AH181" s="461"/>
      <c r="AI181" s="461"/>
      <c r="AJ181" s="461"/>
      <c r="AK181" s="461"/>
      <c r="AL181" s="461"/>
      <c r="AM181" s="461"/>
      <c r="AN181" s="461"/>
      <c r="AO181" s="461"/>
      <c r="AP181" s="461"/>
      <c r="AQ181" s="461"/>
      <c r="AR181" s="461"/>
      <c r="AS181" s="461"/>
      <c r="AT181" s="461"/>
      <c r="AU181" s="461"/>
      <c r="AV181" s="461"/>
      <c r="AW181" s="461"/>
      <c r="AX181" s="461"/>
      <c r="AY181" s="461"/>
      <c r="AZ181" s="461"/>
      <c r="BA181" s="461"/>
      <c r="BB181" s="461"/>
      <c r="BC181" s="461"/>
      <c r="BD181" s="461"/>
      <c r="BE181" s="461"/>
      <c r="BF181" s="461"/>
      <c r="BG181" s="461"/>
      <c r="BH181" s="461"/>
      <c r="BI181" s="461"/>
      <c r="BJ181" s="461"/>
      <c r="BK181" s="461"/>
      <c r="BL181" s="461"/>
      <c r="BM181" s="461"/>
      <c r="BN181" s="461"/>
      <c r="BO181" s="461"/>
      <c r="BP181" s="461"/>
      <c r="BQ181" s="461"/>
      <c r="BR181" s="461"/>
      <c r="BS181" s="461"/>
      <c r="BT181" s="461"/>
      <c r="BU181" s="461"/>
      <c r="BV181" s="461"/>
      <c r="BW181" s="461"/>
      <c r="BX181" s="461"/>
      <c r="BY181" s="461"/>
      <c r="BZ181" s="461"/>
      <c r="CA181" s="461"/>
      <c r="CB181" s="461"/>
      <c r="CC181" s="461"/>
      <c r="CD181" s="461"/>
      <c r="CE181" s="461"/>
      <c r="CF181" s="461"/>
      <c r="CG181" s="461"/>
      <c r="CH181" s="461"/>
      <c r="CI181" s="461"/>
      <c r="CJ181" s="461"/>
      <c r="CK181" s="461"/>
      <c r="CL181" s="461"/>
      <c r="CM181" s="461"/>
      <c r="CN181" s="461"/>
      <c r="CO181" s="461"/>
      <c r="CP181" s="461"/>
      <c r="CQ181" s="461"/>
      <c r="CR181" s="461"/>
      <c r="CS181" s="461"/>
      <c r="CT181" s="461"/>
      <c r="CU181" s="461"/>
      <c r="CV181" s="461"/>
      <c r="CW181" s="461"/>
      <c r="CX181" s="461"/>
      <c r="CY181" s="461"/>
      <c r="CZ181" s="461"/>
      <c r="DA181" s="461"/>
      <c r="DB181" s="461"/>
      <c r="DC181" s="461"/>
      <c r="DD181" s="461"/>
      <c r="DE181" s="461"/>
      <c r="DF181" s="461"/>
      <c r="DG181" s="461"/>
      <c r="DH181" s="461"/>
      <c r="DI181" s="461"/>
      <c r="DJ181" s="461"/>
      <c r="DK181" s="461"/>
      <c r="DL181" s="461"/>
      <c r="DM181" s="461"/>
      <c r="DN181" s="461"/>
      <c r="DO181" s="461"/>
      <c r="DP181" s="461"/>
      <c r="DQ181" s="461"/>
      <c r="DR181" s="461"/>
      <c r="DS181" s="461"/>
      <c r="DT181" s="461"/>
      <c r="DU181" s="461"/>
      <c r="DV181" s="461"/>
      <c r="DW181" s="461"/>
      <c r="DX181" s="461"/>
      <c r="DY181" s="461"/>
      <c r="DZ181" s="461"/>
      <c r="EA181" s="461"/>
      <c r="EB181" s="461"/>
      <c r="EC181" s="461"/>
      <c r="ED181" s="461"/>
      <c r="EE181" s="461"/>
      <c r="EF181" s="461"/>
      <c r="EG181" s="461"/>
      <c r="EH181" s="461"/>
      <c r="EI181" s="461"/>
      <c r="EJ181" s="461"/>
      <c r="EK181" s="461"/>
      <c r="EL181" s="461"/>
      <c r="EM181" s="461"/>
      <c r="EN181" s="461"/>
      <c r="EO181" s="461"/>
      <c r="EP181" s="461"/>
      <c r="EQ181" s="461"/>
      <c r="ER181" s="461"/>
      <c r="ES181" s="461"/>
      <c r="ET181" s="461"/>
      <c r="EU181" s="461"/>
      <c r="EV181" s="461"/>
      <c r="EW181" s="461"/>
      <c r="EX181" s="461"/>
      <c r="EY181" s="461"/>
      <c r="EZ181" s="461"/>
      <c r="FA181" s="461"/>
      <c r="FB181" s="461"/>
      <c r="FC181" s="461"/>
      <c r="FD181" s="461"/>
      <c r="FE181" s="461"/>
      <c r="FF181" s="461"/>
      <c r="FG181" s="461">
        <v>18.912880872388083</v>
      </c>
      <c r="FH181" s="461">
        <v>28.698109368280392</v>
      </c>
      <c r="FI181" s="461">
        <v>17.776485486056757</v>
      </c>
      <c r="FJ181" s="461">
        <v>1.5194223247116834</v>
      </c>
      <c r="FK181" s="461">
        <v>12.164770007291786</v>
      </c>
      <c r="FL181" s="461"/>
      <c r="FM181" s="461">
        <v>0.18194380800253712</v>
      </c>
      <c r="FN181" s="461">
        <v>7.7915561199355237</v>
      </c>
      <c r="FO181" s="461"/>
      <c r="FP181" s="461"/>
      <c r="FQ181" s="461"/>
      <c r="FR181" s="461"/>
      <c r="FS181" s="461"/>
      <c r="FT181" s="461"/>
      <c r="FU181" s="461"/>
      <c r="FV181" s="461"/>
      <c r="FW181" s="461"/>
      <c r="FX181" s="461"/>
      <c r="FY181" s="461"/>
      <c r="FZ181" s="461">
        <v>73.826479807889029</v>
      </c>
      <c r="GA181" s="461"/>
      <c r="GB181" s="461"/>
      <c r="GC181" s="461"/>
      <c r="GD181" s="469"/>
      <c r="GE181" s="469"/>
      <c r="GF181" s="469"/>
      <c r="GG181" s="469"/>
      <c r="GH181" s="469"/>
      <c r="GI181" s="469"/>
      <c r="GJ181" s="469"/>
      <c r="GK181" s="469">
        <v>0.25031111490016394</v>
      </c>
      <c r="GL181" s="469">
        <v>161.12195890945597</v>
      </c>
      <c r="GM181" s="458"/>
      <c r="GN181" s="469"/>
      <c r="GO181" s="469"/>
      <c r="GP181" s="468"/>
    </row>
    <row r="182" spans="1:198" x14ac:dyDescent="0.25">
      <c r="A182" s="465" t="s">
        <v>1539</v>
      </c>
      <c r="B182" s="461"/>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c r="AA182" s="461"/>
      <c r="AB182" s="461"/>
      <c r="AC182" s="461"/>
      <c r="AD182" s="461"/>
      <c r="AE182" s="461"/>
      <c r="AF182" s="461"/>
      <c r="AG182" s="461"/>
      <c r="AH182" s="461"/>
      <c r="AI182" s="461"/>
      <c r="AJ182" s="461"/>
      <c r="AK182" s="461"/>
      <c r="AL182" s="461"/>
      <c r="AM182" s="461"/>
      <c r="AN182" s="461"/>
      <c r="AO182" s="461"/>
      <c r="AP182" s="461"/>
      <c r="AQ182" s="461"/>
      <c r="AR182" s="461"/>
      <c r="AS182" s="461"/>
      <c r="AT182" s="461"/>
      <c r="AU182" s="461"/>
      <c r="AV182" s="461"/>
      <c r="AW182" s="461"/>
      <c r="AX182" s="461"/>
      <c r="AY182" s="461"/>
      <c r="AZ182" s="461"/>
      <c r="BA182" s="461"/>
      <c r="BB182" s="461"/>
      <c r="BC182" s="461"/>
      <c r="BD182" s="461"/>
      <c r="BE182" s="461"/>
      <c r="BF182" s="461"/>
      <c r="BG182" s="461"/>
      <c r="BH182" s="461"/>
      <c r="BI182" s="461"/>
      <c r="BJ182" s="461"/>
      <c r="BK182" s="461"/>
      <c r="BL182" s="461"/>
      <c r="BM182" s="461"/>
      <c r="BN182" s="461"/>
      <c r="BO182" s="461"/>
      <c r="BP182" s="461"/>
      <c r="BQ182" s="461"/>
      <c r="BR182" s="461"/>
      <c r="BS182" s="461"/>
      <c r="BT182" s="461"/>
      <c r="BU182" s="461"/>
      <c r="BV182" s="461"/>
      <c r="BW182" s="461"/>
      <c r="BX182" s="461"/>
      <c r="BY182" s="461"/>
      <c r="BZ182" s="461"/>
      <c r="CA182" s="461"/>
      <c r="CB182" s="461"/>
      <c r="CC182" s="461"/>
      <c r="CD182" s="461"/>
      <c r="CE182" s="461"/>
      <c r="CF182" s="461"/>
      <c r="CG182" s="461"/>
      <c r="CH182" s="461"/>
      <c r="CI182" s="461"/>
      <c r="CJ182" s="461"/>
      <c r="CK182" s="461"/>
      <c r="CL182" s="461"/>
      <c r="CM182" s="461"/>
      <c r="CN182" s="461"/>
      <c r="CO182" s="461"/>
      <c r="CP182" s="461"/>
      <c r="CQ182" s="461"/>
      <c r="CR182" s="461"/>
      <c r="CS182" s="461"/>
      <c r="CT182" s="461"/>
      <c r="CU182" s="461"/>
      <c r="CV182" s="461"/>
      <c r="CW182" s="461"/>
      <c r="CX182" s="461"/>
      <c r="CY182" s="461"/>
      <c r="CZ182" s="461"/>
      <c r="DA182" s="461"/>
      <c r="DB182" s="461"/>
      <c r="DC182" s="461"/>
      <c r="DD182" s="461"/>
      <c r="DE182" s="461"/>
      <c r="DF182" s="461"/>
      <c r="DG182" s="461"/>
      <c r="DH182" s="461"/>
      <c r="DI182" s="461"/>
      <c r="DJ182" s="461"/>
      <c r="DK182" s="461"/>
      <c r="DL182" s="461"/>
      <c r="DM182" s="461"/>
      <c r="DN182" s="461"/>
      <c r="DO182" s="461"/>
      <c r="DP182" s="461"/>
      <c r="DQ182" s="461"/>
      <c r="DR182" s="461"/>
      <c r="DS182" s="461"/>
      <c r="DT182" s="461"/>
      <c r="DU182" s="461"/>
      <c r="DV182" s="461"/>
      <c r="DW182" s="461"/>
      <c r="DX182" s="461"/>
      <c r="DY182" s="461"/>
      <c r="DZ182" s="461"/>
      <c r="EA182" s="461"/>
      <c r="EB182" s="461"/>
      <c r="EC182" s="461"/>
      <c r="ED182" s="461"/>
      <c r="EE182" s="461"/>
      <c r="EF182" s="461"/>
      <c r="EG182" s="461"/>
      <c r="EH182" s="461"/>
      <c r="EI182" s="461"/>
      <c r="EJ182" s="461"/>
      <c r="EK182" s="461"/>
      <c r="EL182" s="461"/>
      <c r="EM182" s="461"/>
      <c r="EN182" s="461"/>
      <c r="EO182" s="461"/>
      <c r="EP182" s="461"/>
      <c r="EQ182" s="461"/>
      <c r="ER182" s="461"/>
      <c r="ES182" s="461"/>
      <c r="ET182" s="461"/>
      <c r="EU182" s="461"/>
      <c r="EV182" s="461"/>
      <c r="EW182" s="461"/>
      <c r="EX182" s="461"/>
      <c r="EY182" s="461"/>
      <c r="EZ182" s="461"/>
      <c r="FA182" s="461"/>
      <c r="FB182" s="461"/>
      <c r="FC182" s="461"/>
      <c r="FD182" s="461"/>
      <c r="FE182" s="461"/>
      <c r="FF182" s="461"/>
      <c r="FG182" s="461">
        <v>17.325208066831816</v>
      </c>
      <c r="FH182" s="461">
        <v>35.82915404208719</v>
      </c>
      <c r="FI182" s="461">
        <v>23.62118468419785</v>
      </c>
      <c r="FJ182" s="461">
        <v>4.0192230947358496</v>
      </c>
      <c r="FK182" s="461">
        <v>17.719844808950551</v>
      </c>
      <c r="FL182" s="461"/>
      <c r="FM182" s="461">
        <v>0.25590752590556826</v>
      </c>
      <c r="FN182" s="461">
        <v>10.013186010611312</v>
      </c>
      <c r="FO182" s="461"/>
      <c r="FP182" s="461"/>
      <c r="FQ182" s="461"/>
      <c r="FR182" s="461"/>
      <c r="FS182" s="461"/>
      <c r="FT182" s="461"/>
      <c r="FU182" s="461"/>
      <c r="FV182" s="461"/>
      <c r="FW182" s="461"/>
      <c r="FX182" s="461"/>
      <c r="FY182" s="461"/>
      <c r="FZ182" s="461">
        <v>65.986350102972921</v>
      </c>
      <c r="GA182" s="461"/>
      <c r="GB182" s="461"/>
      <c r="GC182" s="461"/>
      <c r="GD182" s="469"/>
      <c r="GE182" s="469"/>
      <c r="GF182" s="469"/>
      <c r="GG182" s="469"/>
      <c r="GH182" s="469"/>
      <c r="GI182" s="469"/>
      <c r="GJ182" s="469"/>
      <c r="GK182" s="469">
        <v>0.32118747276804782</v>
      </c>
      <c r="GL182" s="469">
        <v>175.09124580906112</v>
      </c>
      <c r="GM182" s="458"/>
      <c r="GN182" s="469"/>
      <c r="GO182" s="469"/>
      <c r="GP182" s="468"/>
    </row>
    <row r="183" spans="1:198" x14ac:dyDescent="0.25">
      <c r="A183" s="465" t="s">
        <v>1538</v>
      </c>
      <c r="B183" s="461"/>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c r="AA183" s="461"/>
      <c r="AB183" s="461"/>
      <c r="AC183" s="461"/>
      <c r="AD183" s="461"/>
      <c r="AE183" s="461"/>
      <c r="AF183" s="461"/>
      <c r="AG183" s="461"/>
      <c r="AH183" s="461"/>
      <c r="AI183" s="461"/>
      <c r="AJ183" s="461"/>
      <c r="AK183" s="461"/>
      <c r="AL183" s="461"/>
      <c r="AM183" s="461"/>
      <c r="AN183" s="461"/>
      <c r="AO183" s="461"/>
      <c r="AP183" s="461"/>
      <c r="AQ183" s="461"/>
      <c r="AR183" s="461"/>
      <c r="AS183" s="461"/>
      <c r="AT183" s="461"/>
      <c r="AU183" s="461"/>
      <c r="AV183" s="461"/>
      <c r="AW183" s="461"/>
      <c r="AX183" s="461"/>
      <c r="AY183" s="461"/>
      <c r="AZ183" s="461"/>
      <c r="BA183" s="461"/>
      <c r="BB183" s="461"/>
      <c r="BC183" s="461"/>
      <c r="BD183" s="461"/>
      <c r="BE183" s="461"/>
      <c r="BF183" s="461"/>
      <c r="BG183" s="461"/>
      <c r="BH183" s="461"/>
      <c r="BI183" s="461"/>
      <c r="BJ183" s="461"/>
      <c r="BK183" s="461"/>
      <c r="BL183" s="461"/>
      <c r="BM183" s="461"/>
      <c r="BN183" s="461"/>
      <c r="BO183" s="461"/>
      <c r="BP183" s="461"/>
      <c r="BQ183" s="461"/>
      <c r="BR183" s="461"/>
      <c r="BS183" s="461"/>
      <c r="BT183" s="461"/>
      <c r="BU183" s="461"/>
      <c r="BV183" s="461"/>
      <c r="BW183" s="461"/>
      <c r="BX183" s="461"/>
      <c r="BY183" s="461"/>
      <c r="BZ183" s="461"/>
      <c r="CA183" s="461"/>
      <c r="CB183" s="461"/>
      <c r="CC183" s="461"/>
      <c r="CD183" s="461"/>
      <c r="CE183" s="461"/>
      <c r="CF183" s="461"/>
      <c r="CG183" s="461"/>
      <c r="CH183" s="461"/>
      <c r="CI183" s="461"/>
      <c r="CJ183" s="461"/>
      <c r="CK183" s="461"/>
      <c r="CL183" s="461"/>
      <c r="CM183" s="461"/>
      <c r="CN183" s="461"/>
      <c r="CO183" s="461"/>
      <c r="CP183" s="461"/>
      <c r="CQ183" s="461"/>
      <c r="CR183" s="461"/>
      <c r="CS183" s="461"/>
      <c r="CT183" s="461"/>
      <c r="CU183" s="461"/>
      <c r="CV183" s="461"/>
      <c r="CW183" s="461"/>
      <c r="CX183" s="461"/>
      <c r="CY183" s="461"/>
      <c r="CZ183" s="461"/>
      <c r="DA183" s="461"/>
      <c r="DB183" s="461"/>
      <c r="DC183" s="461"/>
      <c r="DD183" s="461"/>
      <c r="DE183" s="461"/>
      <c r="DF183" s="461"/>
      <c r="DG183" s="461"/>
      <c r="DH183" s="461"/>
      <c r="DI183" s="461"/>
      <c r="DJ183" s="461"/>
      <c r="DK183" s="461"/>
      <c r="DL183" s="461"/>
      <c r="DM183" s="461"/>
      <c r="DN183" s="461"/>
      <c r="DO183" s="461"/>
      <c r="DP183" s="461"/>
      <c r="DQ183" s="461"/>
      <c r="DR183" s="461"/>
      <c r="DS183" s="461"/>
      <c r="DT183" s="461"/>
      <c r="DU183" s="461"/>
      <c r="DV183" s="461"/>
      <c r="DW183" s="461"/>
      <c r="DX183" s="461"/>
      <c r="DY183" s="461"/>
      <c r="DZ183" s="461"/>
      <c r="EA183" s="461"/>
      <c r="EB183" s="461"/>
      <c r="EC183" s="461"/>
      <c r="ED183" s="461"/>
      <c r="EE183" s="461"/>
      <c r="EF183" s="461"/>
      <c r="EG183" s="461"/>
      <c r="EH183" s="461"/>
      <c r="EI183" s="461"/>
      <c r="EJ183" s="461"/>
      <c r="EK183" s="461"/>
      <c r="EL183" s="461"/>
      <c r="EM183" s="461"/>
      <c r="EN183" s="461"/>
      <c r="EO183" s="461"/>
      <c r="EP183" s="461"/>
      <c r="EQ183" s="461"/>
      <c r="ER183" s="461"/>
      <c r="ES183" s="461"/>
      <c r="ET183" s="461"/>
      <c r="EU183" s="461"/>
      <c r="EV183" s="461"/>
      <c r="EW183" s="461"/>
      <c r="EX183" s="461"/>
      <c r="EY183" s="461"/>
      <c r="EZ183" s="461"/>
      <c r="FA183" s="461"/>
      <c r="FB183" s="461"/>
      <c r="FC183" s="461"/>
      <c r="FD183" s="461"/>
      <c r="FE183" s="461"/>
      <c r="FF183" s="461"/>
      <c r="FG183" s="461">
        <v>22.502143028564443</v>
      </c>
      <c r="FH183" s="461">
        <v>52.303663993194291</v>
      </c>
      <c r="FI183" s="461">
        <v>45.281084244435469</v>
      </c>
      <c r="FJ183" s="461">
        <v>12.214171305654046</v>
      </c>
      <c r="FK183" s="461">
        <v>29.104194332254103</v>
      </c>
      <c r="FL183" s="461"/>
      <c r="FM183" s="461">
        <v>0.41869184465453446</v>
      </c>
      <c r="FN183" s="461">
        <v>16.03793661174058</v>
      </c>
      <c r="FO183" s="461"/>
      <c r="FP183" s="461"/>
      <c r="FQ183" s="461"/>
      <c r="FR183" s="461"/>
      <c r="FS183" s="461"/>
      <c r="FT183" s="461"/>
      <c r="FU183" s="461"/>
      <c r="FV183" s="461"/>
      <c r="FW183" s="461"/>
      <c r="FX183" s="461"/>
      <c r="FY183" s="461"/>
      <c r="FZ183" s="461">
        <v>66.096981431662215</v>
      </c>
      <c r="GA183" s="461"/>
      <c r="GB183" s="461"/>
      <c r="GC183" s="461"/>
      <c r="GD183" s="469"/>
      <c r="GE183" s="469"/>
      <c r="GF183" s="469"/>
      <c r="GG183" s="469"/>
      <c r="GH183" s="469"/>
      <c r="GI183" s="469"/>
      <c r="GJ183" s="469"/>
      <c r="GK183" s="469">
        <v>0.51367468024353247</v>
      </c>
      <c r="GL183" s="469">
        <v>244.47254147240324</v>
      </c>
      <c r="GM183" s="458"/>
      <c r="GN183" s="469"/>
      <c r="GO183" s="469"/>
      <c r="GP183" s="468"/>
    </row>
    <row r="184" spans="1:198" x14ac:dyDescent="0.25">
      <c r="A184" s="465" t="s">
        <v>1537</v>
      </c>
      <c r="B184" s="461"/>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c r="AA184" s="461"/>
      <c r="AB184" s="461"/>
      <c r="AC184" s="461"/>
      <c r="AD184" s="461"/>
      <c r="AE184" s="461"/>
      <c r="AF184" s="461"/>
      <c r="AG184" s="461"/>
      <c r="AH184" s="461"/>
      <c r="AI184" s="461"/>
      <c r="AJ184" s="461"/>
      <c r="AK184" s="461"/>
      <c r="AL184" s="461"/>
      <c r="AM184" s="461"/>
      <c r="AN184" s="461"/>
      <c r="AO184" s="461"/>
      <c r="AP184" s="461"/>
      <c r="AQ184" s="461"/>
      <c r="AR184" s="461"/>
      <c r="AS184" s="461"/>
      <c r="AT184" s="461"/>
      <c r="AU184" s="461"/>
      <c r="AV184" s="461"/>
      <c r="AW184" s="461"/>
      <c r="AX184" s="461"/>
      <c r="AY184" s="461"/>
      <c r="AZ184" s="461"/>
      <c r="BA184" s="461"/>
      <c r="BB184" s="461"/>
      <c r="BC184" s="461"/>
      <c r="BD184" s="461"/>
      <c r="BE184" s="461"/>
      <c r="BF184" s="461"/>
      <c r="BG184" s="461"/>
      <c r="BH184" s="461"/>
      <c r="BI184" s="461"/>
      <c r="BJ184" s="461"/>
      <c r="BK184" s="461"/>
      <c r="BL184" s="461"/>
      <c r="BM184" s="461"/>
      <c r="BN184" s="461"/>
      <c r="BO184" s="461"/>
      <c r="BP184" s="461"/>
      <c r="BQ184" s="461"/>
      <c r="BR184" s="461"/>
      <c r="BS184" s="461"/>
      <c r="BT184" s="461"/>
      <c r="BU184" s="461"/>
      <c r="BV184" s="461"/>
      <c r="BW184" s="461"/>
      <c r="BX184" s="461"/>
      <c r="BY184" s="461"/>
      <c r="BZ184" s="461"/>
      <c r="CA184" s="461"/>
      <c r="CB184" s="461"/>
      <c r="CC184" s="461"/>
      <c r="CD184" s="461"/>
      <c r="CE184" s="461"/>
      <c r="CF184" s="461"/>
      <c r="CG184" s="461"/>
      <c r="CH184" s="461"/>
      <c r="CI184" s="461"/>
      <c r="CJ184" s="461"/>
      <c r="CK184" s="461"/>
      <c r="CL184" s="461"/>
      <c r="CM184" s="461"/>
      <c r="CN184" s="461"/>
      <c r="CO184" s="461"/>
      <c r="CP184" s="461"/>
      <c r="CQ184" s="461"/>
      <c r="CR184" s="461"/>
      <c r="CS184" s="461"/>
      <c r="CT184" s="461"/>
      <c r="CU184" s="461"/>
      <c r="CV184" s="461"/>
      <c r="CW184" s="461"/>
      <c r="CX184" s="461"/>
      <c r="CY184" s="461"/>
      <c r="CZ184" s="461"/>
      <c r="DA184" s="461"/>
      <c r="DB184" s="461"/>
      <c r="DC184" s="461"/>
      <c r="DD184" s="461"/>
      <c r="DE184" s="461"/>
      <c r="DF184" s="461"/>
      <c r="DG184" s="461"/>
      <c r="DH184" s="461"/>
      <c r="DI184" s="461"/>
      <c r="DJ184" s="461"/>
      <c r="DK184" s="461"/>
      <c r="DL184" s="461"/>
      <c r="DM184" s="461"/>
      <c r="DN184" s="461"/>
      <c r="DO184" s="461"/>
      <c r="DP184" s="461"/>
      <c r="DQ184" s="461"/>
      <c r="DR184" s="461"/>
      <c r="DS184" s="461"/>
      <c r="DT184" s="461"/>
      <c r="DU184" s="461"/>
      <c r="DV184" s="461"/>
      <c r="DW184" s="461"/>
      <c r="DX184" s="461"/>
      <c r="DY184" s="461"/>
      <c r="DZ184" s="461"/>
      <c r="EA184" s="461"/>
      <c r="EB184" s="461"/>
      <c r="EC184" s="461"/>
      <c r="ED184" s="461"/>
      <c r="EE184" s="461"/>
      <c r="EF184" s="461"/>
      <c r="EG184" s="461"/>
      <c r="EH184" s="461"/>
      <c r="EI184" s="461"/>
      <c r="EJ184" s="461"/>
      <c r="EK184" s="461"/>
      <c r="EL184" s="461"/>
      <c r="EM184" s="461"/>
      <c r="EN184" s="461"/>
      <c r="EO184" s="461"/>
      <c r="EP184" s="461"/>
      <c r="EQ184" s="461"/>
      <c r="ER184" s="461"/>
      <c r="ES184" s="461"/>
      <c r="ET184" s="461"/>
      <c r="EU184" s="461"/>
      <c r="EV184" s="461"/>
      <c r="EW184" s="461"/>
      <c r="EX184" s="461"/>
      <c r="EY184" s="461"/>
      <c r="EZ184" s="461"/>
      <c r="FA184" s="461"/>
      <c r="FB184" s="461"/>
      <c r="FC184" s="461"/>
      <c r="FD184" s="461"/>
      <c r="FE184" s="461"/>
      <c r="FF184" s="461"/>
      <c r="FG184" s="461">
        <v>18.279641825851993</v>
      </c>
      <c r="FH184" s="461">
        <v>47.079494891624279</v>
      </c>
      <c r="FI184" s="461">
        <v>80.486902368776995</v>
      </c>
      <c r="FJ184" s="461">
        <v>25.306562015121596</v>
      </c>
      <c r="FK184" s="461">
        <v>47.83458198480006</v>
      </c>
      <c r="FL184" s="461"/>
      <c r="FM184" s="461">
        <v>0.64806543727835908</v>
      </c>
      <c r="FN184" s="461">
        <v>29.26884494414368</v>
      </c>
      <c r="FO184" s="461"/>
      <c r="FP184" s="461"/>
      <c r="FQ184" s="461"/>
      <c r="FR184" s="461"/>
      <c r="FS184" s="461"/>
      <c r="FT184" s="461"/>
      <c r="FU184" s="461"/>
      <c r="FV184" s="461"/>
      <c r="FW184" s="461"/>
      <c r="FX184" s="461"/>
      <c r="FY184" s="461"/>
      <c r="FZ184" s="461">
        <v>48.039364167034151</v>
      </c>
      <c r="GA184" s="461"/>
      <c r="GB184" s="461"/>
      <c r="GC184" s="461"/>
      <c r="GD184" s="469"/>
      <c r="GE184" s="469"/>
      <c r="GF184" s="469"/>
      <c r="GG184" s="469"/>
      <c r="GH184" s="469"/>
      <c r="GI184" s="469"/>
      <c r="GJ184" s="469"/>
      <c r="GK184" s="469">
        <v>0.9343787855211183</v>
      </c>
      <c r="GL184" s="469">
        <v>297.87783642015216</v>
      </c>
      <c r="GM184" s="458"/>
      <c r="GN184" s="469"/>
      <c r="GO184" s="469"/>
      <c r="GP184" s="468"/>
    </row>
    <row r="185" spans="1:198" x14ac:dyDescent="0.25">
      <c r="A185" s="465" t="s">
        <v>1536</v>
      </c>
      <c r="B185" s="461"/>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c r="AA185" s="461"/>
      <c r="AB185" s="461"/>
      <c r="AC185" s="461"/>
      <c r="AD185" s="461"/>
      <c r="AE185" s="461"/>
      <c r="AF185" s="461"/>
      <c r="AG185" s="461"/>
      <c r="AH185" s="461"/>
      <c r="AI185" s="461"/>
      <c r="AJ185" s="461"/>
      <c r="AK185" s="461"/>
      <c r="AL185" s="461"/>
      <c r="AM185" s="461"/>
      <c r="AN185" s="461"/>
      <c r="AO185" s="461"/>
      <c r="AP185" s="461"/>
      <c r="AQ185" s="461"/>
      <c r="AR185" s="461"/>
      <c r="AS185" s="461"/>
      <c r="AT185" s="461"/>
      <c r="AU185" s="461"/>
      <c r="AV185" s="461"/>
      <c r="AW185" s="461"/>
      <c r="AX185" s="461"/>
      <c r="AY185" s="461"/>
      <c r="AZ185" s="461"/>
      <c r="BA185" s="461"/>
      <c r="BB185" s="461"/>
      <c r="BC185" s="461"/>
      <c r="BD185" s="461"/>
      <c r="BE185" s="461"/>
      <c r="BF185" s="461"/>
      <c r="BG185" s="461"/>
      <c r="BH185" s="461"/>
      <c r="BI185" s="461"/>
      <c r="BJ185" s="461"/>
      <c r="BK185" s="461"/>
      <c r="BL185" s="461"/>
      <c r="BM185" s="461"/>
      <c r="BN185" s="461"/>
      <c r="BO185" s="461"/>
      <c r="BP185" s="461"/>
      <c r="BQ185" s="461"/>
      <c r="BR185" s="461"/>
      <c r="BS185" s="461"/>
      <c r="BT185" s="461"/>
      <c r="BU185" s="461"/>
      <c r="BV185" s="461"/>
      <c r="BW185" s="461"/>
      <c r="BX185" s="461"/>
      <c r="BY185" s="461"/>
      <c r="BZ185" s="461"/>
      <c r="CA185" s="461"/>
      <c r="CB185" s="461"/>
      <c r="CC185" s="461"/>
      <c r="CD185" s="461"/>
      <c r="CE185" s="461"/>
      <c r="CF185" s="461"/>
      <c r="CG185" s="461"/>
      <c r="CH185" s="461"/>
      <c r="CI185" s="461"/>
      <c r="CJ185" s="461"/>
      <c r="CK185" s="461"/>
      <c r="CL185" s="461"/>
      <c r="CM185" s="461"/>
      <c r="CN185" s="461"/>
      <c r="CO185" s="461"/>
      <c r="CP185" s="461"/>
      <c r="CQ185" s="461"/>
      <c r="CR185" s="461"/>
      <c r="CS185" s="461"/>
      <c r="CT185" s="461"/>
      <c r="CU185" s="461"/>
      <c r="CV185" s="461"/>
      <c r="CW185" s="461"/>
      <c r="CX185" s="461"/>
      <c r="CY185" s="461"/>
      <c r="CZ185" s="461"/>
      <c r="DA185" s="461"/>
      <c r="DB185" s="461"/>
      <c r="DC185" s="461"/>
      <c r="DD185" s="461"/>
      <c r="DE185" s="461"/>
      <c r="DF185" s="461"/>
      <c r="DG185" s="461"/>
      <c r="DH185" s="461"/>
      <c r="DI185" s="461"/>
      <c r="DJ185" s="461"/>
      <c r="DK185" s="461"/>
      <c r="DL185" s="461"/>
      <c r="DM185" s="461"/>
      <c r="DN185" s="461"/>
      <c r="DO185" s="461"/>
      <c r="DP185" s="461"/>
      <c r="DQ185" s="461"/>
      <c r="DR185" s="461"/>
      <c r="DS185" s="461"/>
      <c r="DT185" s="461"/>
      <c r="DU185" s="461"/>
      <c r="DV185" s="461"/>
      <c r="DW185" s="461"/>
      <c r="DX185" s="461"/>
      <c r="DY185" s="461"/>
      <c r="DZ185" s="461"/>
      <c r="EA185" s="461"/>
      <c r="EB185" s="461"/>
      <c r="EC185" s="461"/>
      <c r="ED185" s="461"/>
      <c r="EE185" s="461"/>
      <c r="EF185" s="461"/>
      <c r="EG185" s="461"/>
      <c r="EH185" s="461"/>
      <c r="EI185" s="461"/>
      <c r="EJ185" s="461"/>
      <c r="EK185" s="461"/>
      <c r="EL185" s="461"/>
      <c r="EM185" s="461"/>
      <c r="EN185" s="461"/>
      <c r="EO185" s="461"/>
      <c r="EP185" s="461"/>
      <c r="EQ185" s="461"/>
      <c r="ER185" s="461"/>
      <c r="ES185" s="461"/>
      <c r="ET185" s="461"/>
      <c r="EU185" s="461"/>
      <c r="EV185" s="461"/>
      <c r="EW185" s="461"/>
      <c r="EX185" s="461"/>
      <c r="EY185" s="461"/>
      <c r="EZ185" s="461"/>
      <c r="FA185" s="461"/>
      <c r="FB185" s="461"/>
      <c r="FC185" s="461"/>
      <c r="FD185" s="461"/>
      <c r="FE185" s="461"/>
      <c r="FF185" s="461"/>
      <c r="FG185" s="461">
        <v>16.090615664792928</v>
      </c>
      <c r="FH185" s="461">
        <v>69.129761058731603</v>
      </c>
      <c r="FI185" s="461">
        <v>103.40404730057517</v>
      </c>
      <c r="FJ185" s="461">
        <v>72.279174992050756</v>
      </c>
      <c r="FK185" s="461">
        <v>72.174460657301282</v>
      </c>
      <c r="FL185" s="461"/>
      <c r="FM185" s="461">
        <v>1.2589344217901168</v>
      </c>
      <c r="FN185" s="461">
        <v>57.240229412533033</v>
      </c>
      <c r="FO185" s="461"/>
      <c r="FP185" s="461"/>
      <c r="FQ185" s="461"/>
      <c r="FR185" s="461"/>
      <c r="FS185" s="461"/>
      <c r="FT185" s="461"/>
      <c r="FU185" s="461"/>
      <c r="FV185" s="461"/>
      <c r="FW185" s="461"/>
      <c r="FX185" s="461"/>
      <c r="FY185" s="461"/>
      <c r="FZ185" s="461">
        <v>40.466876866314003</v>
      </c>
      <c r="GA185" s="461"/>
      <c r="GB185" s="461"/>
      <c r="GC185" s="461"/>
      <c r="GD185" s="469"/>
      <c r="GE185" s="469"/>
      <c r="GF185" s="469"/>
      <c r="GG185" s="469"/>
      <c r="GH185" s="469"/>
      <c r="GI185" s="469"/>
      <c r="GJ185" s="469"/>
      <c r="GK185" s="469">
        <v>1.8143650156587647</v>
      </c>
      <c r="GL185" s="469">
        <v>433.85846538974766</v>
      </c>
      <c r="GM185" s="458"/>
      <c r="GN185" s="469"/>
      <c r="GO185" s="469"/>
      <c r="GP185" s="468"/>
    </row>
    <row r="186" spans="1:198" x14ac:dyDescent="0.25">
      <c r="A186" s="465" t="s">
        <v>1535</v>
      </c>
      <c r="B186" s="461"/>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c r="AA186" s="461"/>
      <c r="AB186" s="461"/>
      <c r="AC186" s="461"/>
      <c r="AD186" s="461"/>
      <c r="AE186" s="461"/>
      <c r="AF186" s="461"/>
      <c r="AG186" s="461"/>
      <c r="AH186" s="461"/>
      <c r="AI186" s="461"/>
      <c r="AJ186" s="461"/>
      <c r="AK186" s="461"/>
      <c r="AL186" s="461"/>
      <c r="AM186" s="461"/>
      <c r="AN186" s="461"/>
      <c r="AO186" s="461"/>
      <c r="AP186" s="461"/>
      <c r="AQ186" s="461"/>
      <c r="AR186" s="461"/>
      <c r="AS186" s="461"/>
      <c r="AT186" s="461"/>
      <c r="AU186" s="461"/>
      <c r="AV186" s="461"/>
      <c r="AW186" s="461"/>
      <c r="AX186" s="461"/>
      <c r="AY186" s="461"/>
      <c r="AZ186" s="461"/>
      <c r="BA186" s="461"/>
      <c r="BB186" s="461"/>
      <c r="BC186" s="461"/>
      <c r="BD186" s="461"/>
      <c r="BE186" s="461"/>
      <c r="BF186" s="461"/>
      <c r="BG186" s="461"/>
      <c r="BH186" s="461"/>
      <c r="BI186" s="461"/>
      <c r="BJ186" s="461"/>
      <c r="BK186" s="461"/>
      <c r="BL186" s="461"/>
      <c r="BM186" s="461"/>
      <c r="BN186" s="461"/>
      <c r="BO186" s="461"/>
      <c r="BP186" s="461"/>
      <c r="BQ186" s="461"/>
      <c r="BR186" s="461"/>
      <c r="BS186" s="461"/>
      <c r="BT186" s="461"/>
      <c r="BU186" s="461"/>
      <c r="BV186" s="461"/>
      <c r="BW186" s="461"/>
      <c r="BX186" s="461"/>
      <c r="BY186" s="461"/>
      <c r="BZ186" s="461"/>
      <c r="CA186" s="461"/>
      <c r="CB186" s="461"/>
      <c r="CC186" s="461"/>
      <c r="CD186" s="461"/>
      <c r="CE186" s="461"/>
      <c r="CF186" s="461"/>
      <c r="CG186" s="461"/>
      <c r="CH186" s="461"/>
      <c r="CI186" s="461"/>
      <c r="CJ186" s="461"/>
      <c r="CK186" s="461"/>
      <c r="CL186" s="461"/>
      <c r="CM186" s="461"/>
      <c r="CN186" s="461"/>
      <c r="CO186" s="461"/>
      <c r="CP186" s="461"/>
      <c r="CQ186" s="461"/>
      <c r="CR186" s="461"/>
      <c r="CS186" s="461"/>
      <c r="CT186" s="461"/>
      <c r="CU186" s="461"/>
      <c r="CV186" s="461"/>
      <c r="CW186" s="461"/>
      <c r="CX186" s="461"/>
      <c r="CY186" s="461"/>
      <c r="CZ186" s="461"/>
      <c r="DA186" s="461"/>
      <c r="DB186" s="461"/>
      <c r="DC186" s="461"/>
      <c r="DD186" s="461"/>
      <c r="DE186" s="461"/>
      <c r="DF186" s="461"/>
      <c r="DG186" s="461"/>
      <c r="DH186" s="461"/>
      <c r="DI186" s="461"/>
      <c r="DJ186" s="461"/>
      <c r="DK186" s="461"/>
      <c r="DL186" s="461"/>
      <c r="DM186" s="461"/>
      <c r="DN186" s="461"/>
      <c r="DO186" s="461"/>
      <c r="DP186" s="461"/>
      <c r="DQ186" s="461"/>
      <c r="DR186" s="461"/>
      <c r="DS186" s="461"/>
      <c r="DT186" s="461"/>
      <c r="DU186" s="461"/>
      <c r="DV186" s="461"/>
      <c r="DW186" s="461"/>
      <c r="DX186" s="461"/>
      <c r="DY186" s="461"/>
      <c r="DZ186" s="461"/>
      <c r="EA186" s="461"/>
      <c r="EB186" s="461"/>
      <c r="EC186" s="461"/>
      <c r="ED186" s="461"/>
      <c r="EE186" s="461"/>
      <c r="EF186" s="461"/>
      <c r="EG186" s="461"/>
      <c r="EH186" s="461"/>
      <c r="EI186" s="461"/>
      <c r="EJ186" s="461"/>
      <c r="EK186" s="461"/>
      <c r="EL186" s="461"/>
      <c r="EM186" s="461"/>
      <c r="EN186" s="461"/>
      <c r="EO186" s="461"/>
      <c r="EP186" s="461"/>
      <c r="EQ186" s="461"/>
      <c r="ER186" s="461"/>
      <c r="ES186" s="461"/>
      <c r="ET186" s="461"/>
      <c r="EU186" s="461"/>
      <c r="EV186" s="461"/>
      <c r="EW186" s="461"/>
      <c r="EX186" s="461"/>
      <c r="EY186" s="461"/>
      <c r="EZ186" s="461"/>
      <c r="FA186" s="461"/>
      <c r="FB186" s="461"/>
      <c r="FC186" s="461"/>
      <c r="FD186" s="461"/>
      <c r="FE186" s="461"/>
      <c r="FF186" s="461"/>
      <c r="FG186" s="461">
        <v>13.534911182370887</v>
      </c>
      <c r="FH186" s="461">
        <v>66.564326988696507</v>
      </c>
      <c r="FI186" s="461">
        <v>171.40612047123764</v>
      </c>
      <c r="FJ186" s="461">
        <v>251.47122189198677</v>
      </c>
      <c r="FK186" s="461">
        <v>127.33279144034694</v>
      </c>
      <c r="FL186" s="461"/>
      <c r="FM186" s="461">
        <v>3.9338887590286835</v>
      </c>
      <c r="FN186" s="461">
        <v>148.63361428517641</v>
      </c>
      <c r="FO186" s="461"/>
      <c r="FP186" s="461"/>
      <c r="FQ186" s="461"/>
      <c r="FR186" s="461"/>
      <c r="FS186" s="461"/>
      <c r="FT186" s="461"/>
      <c r="FU186" s="461"/>
      <c r="FV186" s="461"/>
      <c r="FW186" s="461"/>
      <c r="FX186" s="461"/>
      <c r="FY186" s="461"/>
      <c r="FZ186" s="461">
        <v>28.964817321074801</v>
      </c>
      <c r="GA186" s="461"/>
      <c r="GB186" s="461"/>
      <c r="GC186" s="461"/>
      <c r="GD186" s="469"/>
      <c r="GE186" s="469"/>
      <c r="GF186" s="469"/>
      <c r="GG186" s="469"/>
      <c r="GH186" s="469"/>
      <c r="GI186" s="469"/>
      <c r="GJ186" s="469"/>
      <c r="GK186" s="469">
        <v>4.7410839125500948</v>
      </c>
      <c r="GL186" s="469">
        <v>816.58277625246876</v>
      </c>
      <c r="GM186" s="458"/>
      <c r="GN186" s="469"/>
      <c r="GO186" s="469"/>
      <c r="GP186" s="468"/>
    </row>
    <row r="187" spans="1:198" x14ac:dyDescent="0.25">
      <c r="A187" s="465" t="s">
        <v>2327</v>
      </c>
      <c r="B187" s="461"/>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c r="AD187" s="461"/>
      <c r="AE187" s="461"/>
      <c r="AF187" s="461"/>
      <c r="AG187" s="461"/>
      <c r="AH187" s="461"/>
      <c r="AI187" s="461"/>
      <c r="AJ187" s="461"/>
      <c r="AK187" s="461"/>
      <c r="AL187" s="461"/>
      <c r="AM187" s="461"/>
      <c r="AN187" s="461"/>
      <c r="AO187" s="461"/>
      <c r="AP187" s="461"/>
      <c r="AQ187" s="461"/>
      <c r="AR187" s="461"/>
      <c r="AS187" s="461"/>
      <c r="AT187" s="461"/>
      <c r="AU187" s="461"/>
      <c r="AV187" s="461"/>
      <c r="AW187" s="461"/>
      <c r="AX187" s="461"/>
      <c r="AY187" s="461"/>
      <c r="AZ187" s="461"/>
      <c r="BA187" s="461"/>
      <c r="BB187" s="461"/>
      <c r="BC187" s="461"/>
      <c r="BD187" s="461"/>
      <c r="BE187" s="461"/>
      <c r="BF187" s="461"/>
      <c r="BG187" s="461"/>
      <c r="BH187" s="461"/>
      <c r="BI187" s="461"/>
      <c r="BJ187" s="461"/>
      <c r="BK187" s="461"/>
      <c r="BL187" s="461"/>
      <c r="BM187" s="461"/>
      <c r="BN187" s="461"/>
      <c r="BO187" s="461"/>
      <c r="BP187" s="461"/>
      <c r="BQ187" s="461"/>
      <c r="BR187" s="461"/>
      <c r="BS187" s="461"/>
      <c r="BT187" s="461"/>
      <c r="BU187" s="461"/>
      <c r="BV187" s="461"/>
      <c r="BW187" s="461"/>
      <c r="BX187" s="461"/>
      <c r="BY187" s="461"/>
      <c r="BZ187" s="461"/>
      <c r="CA187" s="461"/>
      <c r="CB187" s="461"/>
      <c r="CC187" s="461"/>
      <c r="CD187" s="461"/>
      <c r="CE187" s="461"/>
      <c r="CF187" s="461"/>
      <c r="CG187" s="461"/>
      <c r="CH187" s="461"/>
      <c r="CI187" s="461"/>
      <c r="CJ187" s="461"/>
      <c r="CK187" s="461"/>
      <c r="CL187" s="461"/>
      <c r="CM187" s="461"/>
      <c r="CN187" s="461"/>
      <c r="CO187" s="461"/>
      <c r="CP187" s="461"/>
      <c r="CQ187" s="461"/>
      <c r="CR187" s="461"/>
      <c r="CS187" s="461"/>
      <c r="CT187" s="461"/>
      <c r="CU187" s="461"/>
      <c r="CV187" s="461"/>
      <c r="CW187" s="461"/>
      <c r="CX187" s="461"/>
      <c r="CY187" s="461"/>
      <c r="CZ187" s="461"/>
      <c r="DA187" s="461"/>
      <c r="DB187" s="461"/>
      <c r="DC187" s="461"/>
      <c r="DD187" s="461"/>
      <c r="DE187" s="461"/>
      <c r="DF187" s="461"/>
      <c r="DG187" s="461"/>
      <c r="DH187" s="461"/>
      <c r="DI187" s="461"/>
      <c r="DJ187" s="461"/>
      <c r="DK187" s="461"/>
      <c r="DL187" s="461"/>
      <c r="DM187" s="461"/>
      <c r="DN187" s="461"/>
      <c r="DO187" s="461"/>
      <c r="DP187" s="461"/>
      <c r="DQ187" s="461"/>
      <c r="DR187" s="461"/>
      <c r="DS187" s="461"/>
      <c r="DT187" s="461"/>
      <c r="DU187" s="461"/>
      <c r="DV187" s="461"/>
      <c r="DW187" s="461"/>
      <c r="DX187" s="461"/>
      <c r="DY187" s="461"/>
      <c r="DZ187" s="461"/>
      <c r="EA187" s="461"/>
      <c r="EB187" s="461"/>
      <c r="EC187" s="461"/>
      <c r="ED187" s="461"/>
      <c r="EE187" s="461"/>
      <c r="EF187" s="461"/>
      <c r="EG187" s="461"/>
      <c r="EH187" s="461"/>
      <c r="EI187" s="461"/>
      <c r="EJ187" s="461"/>
      <c r="EK187" s="461"/>
      <c r="EL187" s="461"/>
      <c r="EM187" s="461"/>
      <c r="EN187" s="461"/>
      <c r="EO187" s="461"/>
      <c r="EP187" s="461"/>
      <c r="EQ187" s="461"/>
      <c r="ER187" s="461"/>
      <c r="ES187" s="461"/>
      <c r="ET187" s="461"/>
      <c r="EU187" s="461"/>
      <c r="EV187" s="461"/>
      <c r="EW187" s="461"/>
      <c r="EX187" s="461"/>
      <c r="EY187" s="461"/>
      <c r="EZ187" s="461"/>
      <c r="FA187" s="461"/>
      <c r="FB187" s="461"/>
      <c r="FC187" s="461"/>
      <c r="FD187" s="461"/>
      <c r="FE187" s="461"/>
      <c r="FF187" s="461"/>
      <c r="FG187" s="461">
        <v>21.82487367845706</v>
      </c>
      <c r="FH187" s="461">
        <v>44.502005100556943</v>
      </c>
      <c r="FI187" s="461">
        <v>219.56584390572374</v>
      </c>
      <c r="FJ187" s="461">
        <v>806.29032564805584</v>
      </c>
      <c r="FK187" s="461">
        <v>333.01845050173898</v>
      </c>
      <c r="FL187" s="461"/>
      <c r="FM187" s="461">
        <v>10.114984114168271</v>
      </c>
      <c r="FN187" s="461">
        <v>530.26677897693526</v>
      </c>
      <c r="FO187" s="461"/>
      <c r="FP187" s="461"/>
      <c r="FQ187" s="461"/>
      <c r="FR187" s="461"/>
      <c r="FS187" s="461"/>
      <c r="FT187" s="461"/>
      <c r="FU187" s="461"/>
      <c r="FV187" s="461"/>
      <c r="FW187" s="461"/>
      <c r="FX187" s="461"/>
      <c r="FY187" s="461"/>
      <c r="FZ187" s="461">
        <v>14.470123183018474</v>
      </c>
      <c r="GA187" s="461"/>
      <c r="GB187" s="461"/>
      <c r="GC187" s="461"/>
      <c r="GD187" s="469"/>
      <c r="GE187" s="469"/>
      <c r="GF187" s="469"/>
      <c r="GG187" s="469"/>
      <c r="GH187" s="469"/>
      <c r="GI187" s="469"/>
      <c r="GJ187" s="469"/>
      <c r="GK187" s="469">
        <v>17.026228490090691</v>
      </c>
      <c r="GL187" s="469">
        <v>1997.0796135987453</v>
      </c>
      <c r="GM187" s="458"/>
      <c r="GN187" s="469"/>
      <c r="GO187" s="469"/>
      <c r="GP187" s="468"/>
    </row>
    <row r="188" spans="1:198" x14ac:dyDescent="0.25">
      <c r="A188" s="465" t="s">
        <v>1529</v>
      </c>
      <c r="B188" s="461"/>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c r="AA188" s="461"/>
      <c r="AB188" s="461"/>
      <c r="AC188" s="461"/>
      <c r="AD188" s="461"/>
      <c r="AE188" s="461"/>
      <c r="AF188" s="461"/>
      <c r="AG188" s="461"/>
      <c r="AH188" s="461"/>
      <c r="AI188" s="461"/>
      <c r="AJ188" s="461"/>
      <c r="AK188" s="461"/>
      <c r="AL188" s="461"/>
      <c r="AM188" s="461"/>
      <c r="AN188" s="461"/>
      <c r="AO188" s="461"/>
      <c r="AP188" s="461"/>
      <c r="AQ188" s="461"/>
      <c r="AR188" s="461"/>
      <c r="AS188" s="461"/>
      <c r="AT188" s="461"/>
      <c r="AU188" s="461"/>
      <c r="AV188" s="461"/>
      <c r="AW188" s="461"/>
      <c r="AX188" s="461"/>
      <c r="AY188" s="461"/>
      <c r="AZ188" s="461"/>
      <c r="BA188" s="461"/>
      <c r="BB188" s="461"/>
      <c r="BC188" s="461"/>
      <c r="BD188" s="461"/>
      <c r="BE188" s="461"/>
      <c r="BF188" s="461"/>
      <c r="BG188" s="461"/>
      <c r="BH188" s="461"/>
      <c r="BI188" s="461"/>
      <c r="BJ188" s="461"/>
      <c r="BK188" s="461"/>
      <c r="BL188" s="461"/>
      <c r="BM188" s="461"/>
      <c r="BN188" s="461"/>
      <c r="BO188" s="461"/>
      <c r="BP188" s="461"/>
      <c r="BQ188" s="461"/>
      <c r="BR188" s="461"/>
      <c r="BS188" s="461"/>
      <c r="BT188" s="461"/>
      <c r="BU188" s="461"/>
      <c r="BV188" s="461"/>
      <c r="BW188" s="461"/>
      <c r="BX188" s="461"/>
      <c r="BY188" s="461"/>
      <c r="BZ188" s="461"/>
      <c r="CA188" s="461"/>
      <c r="CB188" s="461"/>
      <c r="CC188" s="461"/>
      <c r="CD188" s="461"/>
      <c r="CE188" s="461"/>
      <c r="CF188" s="461"/>
      <c r="CG188" s="461"/>
      <c r="CH188" s="461"/>
      <c r="CI188" s="461"/>
      <c r="CJ188" s="461"/>
      <c r="CK188" s="461"/>
      <c r="CL188" s="461"/>
      <c r="CM188" s="461"/>
      <c r="CN188" s="461"/>
      <c r="CO188" s="461"/>
      <c r="CP188" s="461"/>
      <c r="CQ188" s="461"/>
      <c r="CR188" s="461"/>
      <c r="CS188" s="461"/>
      <c r="CT188" s="461"/>
      <c r="CU188" s="461"/>
      <c r="CV188" s="461"/>
      <c r="CW188" s="461"/>
      <c r="CX188" s="461"/>
      <c r="CY188" s="461"/>
      <c r="CZ188" s="461"/>
      <c r="DA188" s="461"/>
      <c r="DB188" s="461"/>
      <c r="DC188" s="461"/>
      <c r="DD188" s="461"/>
      <c r="DE188" s="461"/>
      <c r="DF188" s="461"/>
      <c r="DG188" s="461"/>
      <c r="DH188" s="461"/>
      <c r="DI188" s="461"/>
      <c r="DJ188" s="461"/>
      <c r="DK188" s="461"/>
      <c r="DL188" s="461"/>
      <c r="DM188" s="461"/>
      <c r="DN188" s="461"/>
      <c r="DO188" s="461"/>
      <c r="DP188" s="461"/>
      <c r="DQ188" s="461"/>
      <c r="DR188" s="461"/>
      <c r="DS188" s="461"/>
      <c r="DT188" s="461"/>
      <c r="DU188" s="461"/>
      <c r="DV188" s="461"/>
      <c r="DW188" s="461"/>
      <c r="DX188" s="461"/>
      <c r="DY188" s="461"/>
      <c r="DZ188" s="461"/>
      <c r="EA188" s="461"/>
      <c r="EB188" s="461"/>
      <c r="EC188" s="461"/>
      <c r="ED188" s="461"/>
      <c r="EE188" s="461"/>
      <c r="EF188" s="461"/>
      <c r="EG188" s="461"/>
      <c r="EH188" s="461"/>
      <c r="EI188" s="461"/>
      <c r="EJ188" s="461"/>
      <c r="EK188" s="461"/>
      <c r="EL188" s="461"/>
      <c r="EM188" s="461"/>
      <c r="EN188" s="461"/>
      <c r="EO188" s="461"/>
      <c r="EP188" s="461"/>
      <c r="EQ188" s="461"/>
      <c r="ER188" s="461"/>
      <c r="ES188" s="461"/>
      <c r="ET188" s="461"/>
      <c r="EU188" s="461"/>
      <c r="EV188" s="461"/>
      <c r="EW188" s="461"/>
      <c r="EX188" s="461"/>
      <c r="EY188" s="461"/>
      <c r="EZ188" s="461"/>
      <c r="FA188" s="461"/>
      <c r="FB188" s="461"/>
      <c r="FC188" s="461"/>
      <c r="FD188" s="461"/>
      <c r="FE188" s="461"/>
      <c r="FF188" s="461"/>
      <c r="FG188" s="461"/>
      <c r="FH188" s="461"/>
      <c r="FI188" s="461"/>
      <c r="FJ188" s="461"/>
      <c r="FK188" s="461">
        <v>108.72526139300486</v>
      </c>
      <c r="FL188" s="461"/>
      <c r="FM188" s="461"/>
      <c r="FN188" s="461">
        <v>308.54044586840109</v>
      </c>
      <c r="FO188" s="461"/>
      <c r="FP188" s="461">
        <v>2.8641695183611631E-2</v>
      </c>
      <c r="FQ188" s="461">
        <v>0.19344963396296849</v>
      </c>
      <c r="FR188" s="461">
        <v>0.51472656205718914</v>
      </c>
      <c r="FS188" s="461">
        <v>0.91403566672480174</v>
      </c>
      <c r="FT188" s="461">
        <v>1.9584393566244414</v>
      </c>
      <c r="FU188" s="461">
        <v>5.4055986051506082</v>
      </c>
      <c r="FV188" s="461">
        <v>8.7517913020114246</v>
      </c>
      <c r="FW188" s="461">
        <v>20.217219607077062</v>
      </c>
      <c r="FX188" s="461">
        <v>66.170040954633109</v>
      </c>
      <c r="FY188" s="461">
        <v>208.46689169705255</v>
      </c>
      <c r="FZ188" s="461">
        <v>265.57510559057863</v>
      </c>
      <c r="GA188" s="461">
        <v>94.683488898730346</v>
      </c>
      <c r="GB188" s="461">
        <v>784.14526173337242</v>
      </c>
      <c r="GC188" s="461">
        <v>53.826298720980922</v>
      </c>
      <c r="GD188" s="469">
        <v>497.90817031405305</v>
      </c>
      <c r="GE188" s="469"/>
      <c r="GF188" s="469"/>
      <c r="GG188" s="469"/>
      <c r="GH188" s="469"/>
      <c r="GI188" s="469"/>
      <c r="GJ188" s="469"/>
      <c r="GK188" s="469">
        <v>0.96819207714401989</v>
      </c>
      <c r="GL188" s="469">
        <v>2426.9930596767435</v>
      </c>
      <c r="GM188" s="458"/>
      <c r="GN188" s="469"/>
      <c r="GO188" s="469"/>
      <c r="GP188" s="468"/>
    </row>
    <row r="189" spans="1:198" x14ac:dyDescent="0.25">
      <c r="A189" s="465" t="s">
        <v>1528</v>
      </c>
      <c r="B189" s="461">
        <v>4.9503667524747772E-3</v>
      </c>
      <c r="C189" s="461">
        <v>1.9501891400868082E-2</v>
      </c>
      <c r="D189" s="461">
        <v>8.3568716122574185E-4</v>
      </c>
      <c r="E189" s="461">
        <v>1.4047880346044997E-2</v>
      </c>
      <c r="F189" s="461">
        <v>5.5110608988523796E-2</v>
      </c>
      <c r="G189" s="461">
        <v>1.8737598330733934E-2</v>
      </c>
      <c r="H189" s="461">
        <v>6.7909848646383626E-3</v>
      </c>
      <c r="I189" s="461">
        <v>8.650454786794548E-3</v>
      </c>
      <c r="J189" s="461">
        <v>7.7950379998698613E-4</v>
      </c>
      <c r="K189" s="461">
        <v>8.6540634021875801E-3</v>
      </c>
      <c r="L189" s="461">
        <v>2.0392442815636855E-3</v>
      </c>
      <c r="M189" s="461">
        <v>5.3845506258491738E-3</v>
      </c>
      <c r="N189" s="461">
        <v>0.39357542457065475</v>
      </c>
      <c r="O189" s="461">
        <v>4.7257110987379343E-2</v>
      </c>
      <c r="P189" s="461">
        <v>1.1859742617157616</v>
      </c>
      <c r="Q189" s="461">
        <v>1.6784473202932384</v>
      </c>
      <c r="R189" s="461">
        <v>9.6480080486059105E-3</v>
      </c>
      <c r="S189" s="461">
        <v>0.88923812907009592</v>
      </c>
      <c r="T189" s="461">
        <v>0.39009285855920584</v>
      </c>
      <c r="U189" s="461">
        <v>0.58288091050965751</v>
      </c>
      <c r="V189" s="461">
        <v>-0.11515684548404517</v>
      </c>
      <c r="W189" s="461">
        <v>0.30962646416771733</v>
      </c>
      <c r="X189" s="461">
        <v>0.16853165171206469</v>
      </c>
      <c r="Y189" s="461">
        <v>-3.0149213532945706E-2</v>
      </c>
      <c r="Z189" s="461">
        <v>0.53890821697664537</v>
      </c>
      <c r="AA189" s="461">
        <v>0.1119632201332028</v>
      </c>
      <c r="AB189" s="461"/>
      <c r="AC189" s="461">
        <v>-0.18955653918269511</v>
      </c>
      <c r="AD189" s="461">
        <v>0.20863399321067522</v>
      </c>
      <c r="AE189" s="461">
        <v>-0.23452053273911014</v>
      </c>
      <c r="AF189" s="461">
        <v>-8.6675696452569548E-2</v>
      </c>
      <c r="AG189" s="461"/>
      <c r="AH189" s="461">
        <v>-0.69033930039077618</v>
      </c>
      <c r="AI189" s="461">
        <v>0.97018652698049845</v>
      </c>
      <c r="AJ189" s="461">
        <v>0.13402144932516954</v>
      </c>
      <c r="AK189" s="461">
        <v>0.20177962142466413</v>
      </c>
      <c r="AL189" s="461">
        <v>-2.3337180119356528E-4</v>
      </c>
      <c r="AM189" s="461">
        <v>0.10173949392935407</v>
      </c>
      <c r="AN189" s="461">
        <v>0.25515600840646968</v>
      </c>
      <c r="AO189" s="461">
        <v>0.11354333204537057</v>
      </c>
      <c r="AP189" s="461">
        <v>0.48746049453793866</v>
      </c>
      <c r="AQ189" s="461">
        <v>1.0151447644038452</v>
      </c>
      <c r="AR189" s="461">
        <v>-6.4742856853364237E-3</v>
      </c>
      <c r="AS189" s="461">
        <v>-0.133148504931627</v>
      </c>
      <c r="AT189" s="461">
        <v>-1.198336544384643</v>
      </c>
      <c r="AU189" s="461">
        <v>0.83672992347243857</v>
      </c>
      <c r="AV189" s="461">
        <v>3.792880539549285E-2</v>
      </c>
      <c r="AW189" s="461">
        <v>-3.7328559630168921E-2</v>
      </c>
      <c r="AX189" s="461">
        <v>0.24956798093088964</v>
      </c>
      <c r="AY189" s="461">
        <v>0.64373989512548713</v>
      </c>
      <c r="AZ189" s="461">
        <v>0.13041219339155363</v>
      </c>
      <c r="BA189" s="461">
        <v>0.12522503634531462</v>
      </c>
      <c r="BB189" s="461">
        <v>5.2189962535102087E-2</v>
      </c>
      <c r="BC189" s="461">
        <v>3.7383844107500446E-3</v>
      </c>
      <c r="BD189" s="461">
        <v>9.1971118973805473E-4</v>
      </c>
      <c r="BE189" s="461">
        <v>0.30970751617819675</v>
      </c>
      <c r="BF189" s="461">
        <v>0.13930658239255111</v>
      </c>
      <c r="BG189" s="461">
        <v>0.1086970012412815</v>
      </c>
      <c r="BH189" s="461">
        <v>8.8033238727180413E-2</v>
      </c>
      <c r="BI189" s="461">
        <v>8.8151487094938072E-2</v>
      </c>
      <c r="BJ189" s="461">
        <v>0.21582123366954489</v>
      </c>
      <c r="BK189" s="461">
        <v>0.26131347870012267</v>
      </c>
      <c r="BL189" s="461">
        <v>-0.35091706202335154</v>
      </c>
      <c r="BM189" s="461">
        <v>1.8141482292255575</v>
      </c>
      <c r="BN189" s="461">
        <v>11.900475103129279</v>
      </c>
      <c r="BO189" s="461">
        <v>2.0841177866307881</v>
      </c>
      <c r="BP189" s="461">
        <v>0.9766305100358007</v>
      </c>
      <c r="BQ189" s="461">
        <v>3.2796700382033586</v>
      </c>
      <c r="BR189" s="461">
        <v>0.28729837686073417</v>
      </c>
      <c r="BS189" s="461">
        <v>0.26456739650602751</v>
      </c>
      <c r="BT189" s="461"/>
      <c r="BU189" s="461">
        <v>1.2776407362139426</v>
      </c>
      <c r="BV189" s="461">
        <v>1.5104894211437572</v>
      </c>
      <c r="BW189" s="461">
        <v>7.2182559379903584</v>
      </c>
      <c r="BX189" s="461">
        <v>37.916938257996854</v>
      </c>
      <c r="BY189" s="461">
        <v>10.243417648745705</v>
      </c>
      <c r="BZ189" s="461">
        <v>5.7519013857369474</v>
      </c>
      <c r="CA189" s="461"/>
      <c r="CB189" s="461"/>
      <c r="CC189" s="461"/>
      <c r="CD189" s="461"/>
      <c r="CE189" s="461"/>
      <c r="CF189" s="461"/>
      <c r="CG189" s="461"/>
      <c r="CH189" s="461"/>
      <c r="CI189" s="461"/>
      <c r="CJ189" s="461"/>
      <c r="CK189" s="461"/>
      <c r="CL189" s="461"/>
      <c r="CM189" s="461"/>
      <c r="CN189" s="461"/>
      <c r="CO189" s="461"/>
      <c r="CP189" s="461"/>
      <c r="CQ189" s="461"/>
      <c r="CR189" s="461"/>
      <c r="CS189" s="461"/>
      <c r="CT189" s="461"/>
      <c r="CU189" s="461"/>
      <c r="CV189" s="461"/>
      <c r="CW189" s="461"/>
      <c r="CX189" s="461"/>
      <c r="CY189" s="461"/>
      <c r="CZ189" s="461"/>
      <c r="DA189" s="461"/>
      <c r="DB189" s="461"/>
      <c r="DC189" s="461"/>
      <c r="DD189" s="461"/>
      <c r="DE189" s="461"/>
      <c r="DF189" s="461"/>
      <c r="DG189" s="461"/>
      <c r="DH189" s="461"/>
      <c r="DI189" s="461"/>
      <c r="DJ189" s="461"/>
      <c r="DK189" s="461"/>
      <c r="DL189" s="461"/>
      <c r="DM189" s="461"/>
      <c r="DN189" s="461"/>
      <c r="DO189" s="461"/>
      <c r="DP189" s="461"/>
      <c r="DQ189" s="461"/>
      <c r="DR189" s="461"/>
      <c r="DS189" s="461"/>
      <c r="DT189" s="461"/>
      <c r="DU189" s="461"/>
      <c r="DV189" s="461"/>
      <c r="DW189" s="461"/>
      <c r="DX189" s="461"/>
      <c r="DY189" s="461"/>
      <c r="DZ189" s="461"/>
      <c r="EA189" s="461"/>
      <c r="EB189" s="461"/>
      <c r="EC189" s="461"/>
      <c r="ED189" s="461"/>
      <c r="EE189" s="461"/>
      <c r="EF189" s="461"/>
      <c r="EG189" s="461"/>
      <c r="EH189" s="461"/>
      <c r="EI189" s="461"/>
      <c r="EJ189" s="461"/>
      <c r="EK189" s="461"/>
      <c r="EL189" s="461"/>
      <c r="EM189" s="461"/>
      <c r="EN189" s="461"/>
      <c r="EO189" s="461"/>
      <c r="EP189" s="461"/>
      <c r="EQ189" s="461"/>
      <c r="ER189" s="461"/>
      <c r="ES189" s="461"/>
      <c r="ET189" s="461"/>
      <c r="EU189" s="461"/>
      <c r="EV189" s="461"/>
      <c r="EW189" s="461"/>
      <c r="EX189" s="461"/>
      <c r="EY189" s="461"/>
      <c r="EZ189" s="461"/>
      <c r="FA189" s="461"/>
      <c r="FB189" s="461"/>
      <c r="FC189" s="461"/>
      <c r="FD189" s="461"/>
      <c r="FE189" s="461"/>
      <c r="FF189" s="461"/>
      <c r="FG189" s="461"/>
      <c r="FH189" s="461"/>
      <c r="FI189" s="461"/>
      <c r="FJ189" s="461"/>
      <c r="FK189" s="461"/>
      <c r="FL189" s="461"/>
      <c r="FM189" s="461"/>
      <c r="FN189" s="461"/>
      <c r="FO189" s="461"/>
      <c r="FP189" s="461"/>
      <c r="FQ189" s="461"/>
      <c r="FR189" s="461"/>
      <c r="FS189" s="461"/>
      <c r="FT189" s="461"/>
      <c r="FU189" s="461"/>
      <c r="FV189" s="461"/>
      <c r="FW189" s="461"/>
      <c r="FX189" s="461"/>
      <c r="FY189" s="461"/>
      <c r="FZ189" s="461"/>
      <c r="GA189" s="461"/>
      <c r="GB189" s="461"/>
      <c r="GC189" s="461"/>
      <c r="GD189" s="469"/>
      <c r="GE189" s="469"/>
      <c r="GF189" s="469"/>
      <c r="GG189" s="469"/>
      <c r="GH189" s="469"/>
      <c r="GI189" s="469"/>
      <c r="GJ189" s="469"/>
      <c r="GK189" s="469"/>
      <c r="GL189" s="469">
        <v>94.683488898730332</v>
      </c>
      <c r="GM189" s="458"/>
      <c r="GN189" s="469"/>
      <c r="GO189" s="469"/>
      <c r="GP189" s="468"/>
    </row>
    <row r="190" spans="1:198" x14ac:dyDescent="0.25">
      <c r="A190" s="465" t="s">
        <v>1527</v>
      </c>
      <c r="B190" s="461"/>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c r="AA190" s="461"/>
      <c r="AB190" s="461"/>
      <c r="AC190" s="461"/>
      <c r="AD190" s="461"/>
      <c r="AE190" s="461"/>
      <c r="AF190" s="461"/>
      <c r="AG190" s="461"/>
      <c r="AH190" s="461"/>
      <c r="AI190" s="461"/>
      <c r="AJ190" s="461"/>
      <c r="AK190" s="461"/>
      <c r="AL190" s="461"/>
      <c r="AM190" s="461"/>
      <c r="AN190" s="461"/>
      <c r="AO190" s="461"/>
      <c r="AP190" s="461"/>
      <c r="AQ190" s="461"/>
      <c r="AR190" s="461"/>
      <c r="AS190" s="461"/>
      <c r="AT190" s="461"/>
      <c r="AU190" s="461"/>
      <c r="AV190" s="461"/>
      <c r="AW190" s="461"/>
      <c r="AX190" s="461"/>
      <c r="AY190" s="461"/>
      <c r="AZ190" s="461"/>
      <c r="BA190" s="461"/>
      <c r="BB190" s="461"/>
      <c r="BC190" s="461"/>
      <c r="BD190" s="461"/>
      <c r="BE190" s="461"/>
      <c r="BF190" s="461"/>
      <c r="BG190" s="461"/>
      <c r="BH190" s="461"/>
      <c r="BI190" s="461"/>
      <c r="BJ190" s="461"/>
      <c r="BK190" s="461"/>
      <c r="BL190" s="461"/>
      <c r="BM190" s="461"/>
      <c r="BN190" s="461"/>
      <c r="BO190" s="461"/>
      <c r="BP190" s="461"/>
      <c r="BQ190" s="461"/>
      <c r="BR190" s="461"/>
      <c r="BS190" s="461"/>
      <c r="BT190" s="461"/>
      <c r="BU190" s="461"/>
      <c r="BV190" s="461"/>
      <c r="BW190" s="461"/>
      <c r="BX190" s="461"/>
      <c r="BY190" s="461"/>
      <c r="BZ190" s="461"/>
      <c r="CA190" s="461"/>
      <c r="CB190" s="461"/>
      <c r="CC190" s="461"/>
      <c r="CD190" s="461"/>
      <c r="CE190" s="461"/>
      <c r="CF190" s="461"/>
      <c r="CG190" s="461"/>
      <c r="CH190" s="461"/>
      <c r="CI190" s="461"/>
      <c r="CJ190" s="461"/>
      <c r="CK190" s="461"/>
      <c r="CL190" s="461"/>
      <c r="CM190" s="461"/>
      <c r="CN190" s="461"/>
      <c r="CO190" s="461"/>
      <c r="CP190" s="461"/>
      <c r="CQ190" s="461"/>
      <c r="CR190" s="461"/>
      <c r="CS190" s="461"/>
      <c r="CT190" s="461"/>
      <c r="CU190" s="461"/>
      <c r="CV190" s="461"/>
      <c r="CW190" s="461"/>
      <c r="CX190" s="461"/>
      <c r="CY190" s="461"/>
      <c r="CZ190" s="461"/>
      <c r="DA190" s="461"/>
      <c r="DB190" s="461"/>
      <c r="DC190" s="461"/>
      <c r="DD190" s="461"/>
      <c r="DE190" s="461"/>
      <c r="DF190" s="461"/>
      <c r="DG190" s="461"/>
      <c r="DH190" s="461"/>
      <c r="DI190" s="461"/>
      <c r="DJ190" s="461"/>
      <c r="DK190" s="461"/>
      <c r="DL190" s="461"/>
      <c r="DM190" s="461"/>
      <c r="DN190" s="461"/>
      <c r="DO190" s="461"/>
      <c r="DP190" s="461"/>
      <c r="DQ190" s="461"/>
      <c r="DR190" s="461"/>
      <c r="DS190" s="461"/>
      <c r="DT190" s="461"/>
      <c r="DU190" s="461"/>
      <c r="DV190" s="461"/>
      <c r="DW190" s="461"/>
      <c r="DX190" s="461"/>
      <c r="DY190" s="461"/>
      <c r="DZ190" s="461"/>
      <c r="EA190" s="461"/>
      <c r="EB190" s="461"/>
      <c r="EC190" s="461"/>
      <c r="ED190" s="461"/>
      <c r="EE190" s="461"/>
      <c r="EF190" s="461"/>
      <c r="EG190" s="461"/>
      <c r="EH190" s="461"/>
      <c r="EI190" s="461"/>
      <c r="EJ190" s="461"/>
      <c r="EK190" s="461"/>
      <c r="EL190" s="461"/>
      <c r="EM190" s="461"/>
      <c r="EN190" s="461"/>
      <c r="EO190" s="461"/>
      <c r="EP190" s="461"/>
      <c r="EQ190" s="461"/>
      <c r="ER190" s="461"/>
      <c r="ES190" s="461"/>
      <c r="ET190" s="461"/>
      <c r="EU190" s="461"/>
      <c r="EV190" s="461"/>
      <c r="EW190" s="461"/>
      <c r="EX190" s="461"/>
      <c r="EY190" s="461"/>
      <c r="EZ190" s="461"/>
      <c r="FA190" s="461"/>
      <c r="FB190" s="461"/>
      <c r="FC190" s="461"/>
      <c r="FD190" s="461"/>
      <c r="FE190" s="461"/>
      <c r="FF190" s="461"/>
      <c r="FG190" s="461"/>
      <c r="FH190" s="461"/>
      <c r="FI190" s="461"/>
      <c r="FJ190" s="461"/>
      <c r="FK190" s="461"/>
      <c r="FL190" s="461"/>
      <c r="FM190" s="461"/>
      <c r="FN190" s="461">
        <v>240.251087493607</v>
      </c>
      <c r="FO190" s="461">
        <v>7.5745117862559805</v>
      </c>
      <c r="FP190" s="461">
        <v>4.9171482953531166E-2</v>
      </c>
      <c r="FQ190" s="461">
        <v>0.33210178039732891</v>
      </c>
      <c r="FR190" s="461">
        <v>0.88356284820175002</v>
      </c>
      <c r="FS190" s="461">
        <v>1.5688004576047261</v>
      </c>
      <c r="FT190" s="461">
        <v>3.360016511198908</v>
      </c>
      <c r="FU190" s="461">
        <v>9.2666853464299912</v>
      </c>
      <c r="FV190" s="461">
        <v>14.994450878320718</v>
      </c>
      <c r="FW190" s="461">
        <v>34.559609124859442</v>
      </c>
      <c r="FX190" s="461">
        <v>113.27231524810755</v>
      </c>
      <c r="FY190" s="461">
        <v>358.03294877543544</v>
      </c>
      <c r="FZ190" s="461"/>
      <c r="GA190" s="461"/>
      <c r="GB190" s="461"/>
      <c r="GC190" s="461"/>
      <c r="GD190" s="469"/>
      <c r="GE190" s="469"/>
      <c r="GF190" s="469"/>
      <c r="GG190" s="469"/>
      <c r="GH190" s="469"/>
      <c r="GI190" s="469"/>
      <c r="GJ190" s="469"/>
      <c r="GK190" s="469"/>
      <c r="GL190" s="469">
        <v>784.14526173337231</v>
      </c>
      <c r="GM190" s="458"/>
      <c r="GN190" s="469"/>
      <c r="GO190" s="469"/>
      <c r="GP190" s="468"/>
    </row>
    <row r="191" spans="1:198" x14ac:dyDescent="0.25">
      <c r="A191" s="465" t="s">
        <v>1526</v>
      </c>
      <c r="B191" s="461"/>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c r="AA191" s="461"/>
      <c r="AB191" s="461"/>
      <c r="AC191" s="461"/>
      <c r="AD191" s="461"/>
      <c r="AE191" s="461"/>
      <c r="AF191" s="461"/>
      <c r="AG191" s="461"/>
      <c r="AH191" s="461"/>
      <c r="AI191" s="461"/>
      <c r="AJ191" s="461"/>
      <c r="AK191" s="461"/>
      <c r="AL191" s="461"/>
      <c r="AM191" s="461"/>
      <c r="AN191" s="461"/>
      <c r="AO191" s="461"/>
      <c r="AP191" s="461"/>
      <c r="AQ191" s="461"/>
      <c r="AR191" s="461"/>
      <c r="AS191" s="461"/>
      <c r="AT191" s="461"/>
      <c r="AU191" s="461"/>
      <c r="AV191" s="461"/>
      <c r="AW191" s="461"/>
      <c r="AX191" s="461"/>
      <c r="AY191" s="461"/>
      <c r="AZ191" s="461"/>
      <c r="BA191" s="461"/>
      <c r="BB191" s="461"/>
      <c r="BC191" s="461"/>
      <c r="BD191" s="461"/>
      <c r="BE191" s="461"/>
      <c r="BF191" s="461"/>
      <c r="BG191" s="461"/>
      <c r="BH191" s="461"/>
      <c r="BI191" s="461"/>
      <c r="BJ191" s="461"/>
      <c r="BK191" s="461"/>
      <c r="BL191" s="461"/>
      <c r="BM191" s="461"/>
      <c r="BN191" s="461"/>
      <c r="BO191" s="461"/>
      <c r="BP191" s="461"/>
      <c r="BQ191" s="461"/>
      <c r="BR191" s="461"/>
      <c r="BS191" s="461"/>
      <c r="BT191" s="461"/>
      <c r="BU191" s="461"/>
      <c r="BV191" s="461"/>
      <c r="BW191" s="461"/>
      <c r="BX191" s="461"/>
      <c r="BY191" s="461"/>
      <c r="BZ191" s="461"/>
      <c r="CA191" s="461">
        <v>0.20483861308375051</v>
      </c>
      <c r="CB191" s="461">
        <v>1.5219831844583051E-2</v>
      </c>
      <c r="CC191" s="461">
        <v>1.7380766813433424E-2</v>
      </c>
      <c r="CD191" s="461">
        <v>2.1858926259990245E-2</v>
      </c>
      <c r="CE191" s="461">
        <v>2.3649829683665663E-2</v>
      </c>
      <c r="CF191" s="461">
        <v>3.9369918136568059E-3</v>
      </c>
      <c r="CG191" s="461">
        <v>5.4075826296189622E-2</v>
      </c>
      <c r="CH191" s="461">
        <v>2.2707643649000494E-4</v>
      </c>
      <c r="CI191" s="461">
        <v>2.8536163110713799E-2</v>
      </c>
      <c r="CJ191" s="461"/>
      <c r="CK191" s="461">
        <v>8.3301091751619594E-2</v>
      </c>
      <c r="CL191" s="461">
        <v>2.0329829577961079E-2</v>
      </c>
      <c r="CM191" s="461">
        <v>3.7758021583657137E-3</v>
      </c>
      <c r="CN191" s="461">
        <v>3.380294132011924E-2</v>
      </c>
      <c r="CO191" s="461"/>
      <c r="CP191" s="461"/>
      <c r="CQ191" s="461"/>
      <c r="CR191" s="461"/>
      <c r="CS191" s="461"/>
      <c r="CT191" s="461"/>
      <c r="CU191" s="461">
        <v>5.7245658825423549E-5</v>
      </c>
      <c r="CV191" s="461">
        <v>1.33705847183083</v>
      </c>
      <c r="CW191" s="461">
        <v>4.6420674118791805E-2</v>
      </c>
      <c r="CX191" s="461">
        <v>0.23383962893023552</v>
      </c>
      <c r="CY191" s="461">
        <v>0.5416939680124363</v>
      </c>
      <c r="CZ191" s="461">
        <v>0.43481721897125247</v>
      </c>
      <c r="DA191" s="461">
        <v>9.7548350095367969E-2</v>
      </c>
      <c r="DB191" s="461">
        <v>1.6961336895616668E-2</v>
      </c>
      <c r="DC191" s="461">
        <v>9.388187523654154E-2</v>
      </c>
      <c r="DD191" s="461">
        <v>0.24816075328411186</v>
      </c>
      <c r="DE191" s="461"/>
      <c r="DF191" s="461">
        <v>0.26170532406272817</v>
      </c>
      <c r="DG191" s="461">
        <v>6.2538347408680778E-2</v>
      </c>
      <c r="DH191" s="461">
        <v>0.47746520180049118</v>
      </c>
      <c r="DI191" s="461">
        <v>5.5217845348595018</v>
      </c>
      <c r="DJ191" s="461">
        <v>1.5372803706786919</v>
      </c>
      <c r="DK191" s="461">
        <v>2.36248662769568</v>
      </c>
      <c r="DL191" s="461">
        <v>0.8716376608977856</v>
      </c>
      <c r="DM191" s="461">
        <v>4.094081418409246</v>
      </c>
      <c r="DN191" s="461">
        <v>6.7146959967260417E-2</v>
      </c>
      <c r="DO191" s="461">
        <v>0.35139439186473259</v>
      </c>
      <c r="DP191" s="461">
        <v>6.1255733248978775E-2</v>
      </c>
      <c r="DQ191" s="461"/>
      <c r="DR191" s="461"/>
      <c r="DS191" s="461"/>
      <c r="DT191" s="461"/>
      <c r="DU191" s="461"/>
      <c r="DV191" s="461"/>
      <c r="DW191" s="461">
        <v>3.6219540112408889E-2</v>
      </c>
      <c r="DX191" s="461">
        <v>0.32597586101168002</v>
      </c>
      <c r="DY191" s="461">
        <v>1.471039620829987</v>
      </c>
      <c r="DZ191" s="461">
        <v>1.522868945291709</v>
      </c>
      <c r="EA191" s="461">
        <v>1.4072114955208217</v>
      </c>
      <c r="EB191" s="461">
        <v>0.98234464867927851</v>
      </c>
      <c r="EC191" s="461">
        <v>8.364012626789942E-2</v>
      </c>
      <c r="ED191" s="461">
        <v>2.0157859213617103E-2</v>
      </c>
      <c r="EE191" s="461">
        <v>1.1523000627147821</v>
      </c>
      <c r="EF191" s="461">
        <v>1.4156131104290419</v>
      </c>
      <c r="EG191" s="461"/>
      <c r="EH191" s="461"/>
      <c r="EI191" s="461">
        <v>2.5609808666906546</v>
      </c>
      <c r="EJ191" s="461">
        <v>3.0286772253517111</v>
      </c>
      <c r="EK191" s="461">
        <v>18.402705833698199</v>
      </c>
      <c r="EL191" s="461">
        <v>0.18590796505682522</v>
      </c>
      <c r="EM191" s="461">
        <v>1.0396570689594242</v>
      </c>
      <c r="EN191" s="461">
        <v>0.89341948403545401</v>
      </c>
      <c r="EO191" s="461"/>
      <c r="EP191" s="461"/>
      <c r="EQ191" s="461"/>
      <c r="ER191" s="461"/>
      <c r="ES191" s="461"/>
      <c r="ET191" s="461"/>
      <c r="EU191" s="461"/>
      <c r="EV191" s="461"/>
      <c r="EW191" s="461"/>
      <c r="EX191" s="461"/>
      <c r="EY191" s="461"/>
      <c r="EZ191" s="461"/>
      <c r="FA191" s="461"/>
      <c r="FB191" s="461"/>
      <c r="FC191" s="461"/>
      <c r="FD191" s="461"/>
      <c r="FE191" s="461">
        <v>6.7429223039100761E-2</v>
      </c>
      <c r="FF191" s="461"/>
      <c r="FG191" s="461"/>
      <c r="FH191" s="461"/>
      <c r="FI191" s="461"/>
      <c r="FJ191" s="461"/>
      <c r="FK191" s="461"/>
      <c r="FL191" s="461"/>
      <c r="FM191" s="461"/>
      <c r="FN191" s="461"/>
      <c r="FO191" s="461"/>
      <c r="FP191" s="461"/>
      <c r="FQ191" s="461"/>
      <c r="FR191" s="461"/>
      <c r="FS191" s="461"/>
      <c r="FT191" s="461"/>
      <c r="FU191" s="461"/>
      <c r="FV191" s="461"/>
      <c r="FW191" s="461"/>
      <c r="FX191" s="461"/>
      <c r="FY191" s="461"/>
      <c r="FZ191" s="461"/>
      <c r="GA191" s="461"/>
      <c r="GB191" s="461"/>
      <c r="GC191" s="461"/>
      <c r="GD191" s="469"/>
      <c r="GE191" s="469"/>
      <c r="GF191" s="469"/>
      <c r="GG191" s="469"/>
      <c r="GH191" s="469"/>
      <c r="GI191" s="469"/>
      <c r="GJ191" s="469"/>
      <c r="GK191" s="469"/>
      <c r="GL191" s="469">
        <v>53.826298720980922</v>
      </c>
      <c r="GM191" s="458"/>
      <c r="GN191" s="469"/>
      <c r="GO191" s="469"/>
      <c r="GP191" s="468"/>
    </row>
    <row r="192" spans="1:198" x14ac:dyDescent="0.25">
      <c r="A192" s="465" t="s">
        <v>1525</v>
      </c>
      <c r="B192" s="461"/>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c r="AA192" s="461"/>
      <c r="AB192" s="461"/>
      <c r="AC192" s="461"/>
      <c r="AD192" s="461"/>
      <c r="AE192" s="461"/>
      <c r="AF192" s="461"/>
      <c r="AG192" s="461"/>
      <c r="AH192" s="461"/>
      <c r="AI192" s="461"/>
      <c r="AJ192" s="461"/>
      <c r="AK192" s="461"/>
      <c r="AL192" s="461"/>
      <c r="AM192" s="461"/>
      <c r="AN192" s="461"/>
      <c r="AO192" s="461"/>
      <c r="AP192" s="461"/>
      <c r="AQ192" s="461"/>
      <c r="AR192" s="461"/>
      <c r="AS192" s="461"/>
      <c r="AT192" s="461"/>
      <c r="AU192" s="461"/>
      <c r="AV192" s="461"/>
      <c r="AW192" s="461"/>
      <c r="AX192" s="461"/>
      <c r="AY192" s="461"/>
      <c r="AZ192" s="461"/>
      <c r="BA192" s="461"/>
      <c r="BB192" s="461"/>
      <c r="BC192" s="461"/>
      <c r="BD192" s="461"/>
      <c r="BE192" s="461"/>
      <c r="BF192" s="461"/>
      <c r="BG192" s="461"/>
      <c r="BH192" s="461"/>
      <c r="BI192" s="461"/>
      <c r="BJ192" s="461"/>
      <c r="BK192" s="461"/>
      <c r="BL192" s="461"/>
      <c r="BM192" s="461"/>
      <c r="BN192" s="461"/>
      <c r="BO192" s="461"/>
      <c r="BP192" s="461"/>
      <c r="BQ192" s="461"/>
      <c r="BR192" s="461"/>
      <c r="BS192" s="461"/>
      <c r="BT192" s="461"/>
      <c r="BU192" s="461"/>
      <c r="BV192" s="461"/>
      <c r="BW192" s="461"/>
      <c r="BX192" s="461"/>
      <c r="BY192" s="461"/>
      <c r="BZ192" s="461"/>
      <c r="CA192" s="461"/>
      <c r="CB192" s="461"/>
      <c r="CC192" s="461"/>
      <c r="CD192" s="461"/>
      <c r="CE192" s="461">
        <v>0.15385838505382515</v>
      </c>
      <c r="CF192" s="461"/>
      <c r="CG192" s="461">
        <v>0.91325532514100394</v>
      </c>
      <c r="CH192" s="461"/>
      <c r="CI192" s="461"/>
      <c r="CJ192" s="461">
        <v>0.75846445631898185</v>
      </c>
      <c r="CK192" s="461">
        <v>0.73158570167129955</v>
      </c>
      <c r="CL192" s="461">
        <v>1.35440799377782</v>
      </c>
      <c r="CM192" s="461">
        <v>1.7418183008646788</v>
      </c>
      <c r="CN192" s="461">
        <v>0.46509688905312774</v>
      </c>
      <c r="CO192" s="461"/>
      <c r="CP192" s="461"/>
      <c r="CQ192" s="461"/>
      <c r="CR192" s="461"/>
      <c r="CS192" s="461">
        <v>3.2155684836852392E-3</v>
      </c>
      <c r="CT192" s="461">
        <v>3.391622152679278E-3</v>
      </c>
      <c r="CU192" s="461">
        <v>2.3443987577396066</v>
      </c>
      <c r="CV192" s="461">
        <v>9.6915657453627482</v>
      </c>
      <c r="CW192" s="461">
        <v>2.4420884346710769</v>
      </c>
      <c r="CX192" s="461">
        <v>3.3546057472152375</v>
      </c>
      <c r="CY192" s="461">
        <v>2.5837894110066557</v>
      </c>
      <c r="CZ192" s="461">
        <v>4.4277271197274821</v>
      </c>
      <c r="DA192" s="461">
        <v>3.0600612699018939</v>
      </c>
      <c r="DB192" s="461">
        <v>2.6597766695204572</v>
      </c>
      <c r="DC192" s="461">
        <v>0.94092829872954875</v>
      </c>
      <c r="DD192" s="461">
        <v>4.8144849069080218</v>
      </c>
      <c r="DE192" s="461">
        <v>3.1063923699086122</v>
      </c>
      <c r="DF192" s="461">
        <v>1.1541050495810916</v>
      </c>
      <c r="DG192" s="461">
        <v>0.30027023514539458</v>
      </c>
      <c r="DH192" s="461">
        <v>3.8609008416186601</v>
      </c>
      <c r="DI192" s="461">
        <v>91.888506435335074</v>
      </c>
      <c r="DJ192" s="461">
        <v>3.7097784406999827</v>
      </c>
      <c r="DK192" s="461">
        <v>9.8600525911381016</v>
      </c>
      <c r="DL192" s="461">
        <v>0.47439755964183106</v>
      </c>
      <c r="DM192" s="461">
        <v>2.5486713462679034</v>
      </c>
      <c r="DN192" s="461">
        <v>1.2810262714985701</v>
      </c>
      <c r="DO192" s="461">
        <v>2.9843368217469095</v>
      </c>
      <c r="DP192" s="461">
        <v>3.2785259576954133</v>
      </c>
      <c r="DQ192" s="461">
        <v>27.946043336557587</v>
      </c>
      <c r="DR192" s="461">
        <v>33.124356770548658</v>
      </c>
      <c r="DS192" s="461"/>
      <c r="DT192" s="461">
        <v>6.2516061468613513</v>
      </c>
      <c r="DU192" s="461">
        <v>2.6812619013652266</v>
      </c>
      <c r="DV192" s="461"/>
      <c r="DW192" s="461">
        <v>6.0271937391284253E-2</v>
      </c>
      <c r="DX192" s="461">
        <v>0.54244743652155825</v>
      </c>
      <c r="DY192" s="461">
        <v>19.344002206634155</v>
      </c>
      <c r="DZ192" s="461">
        <v>2.5166257235789966</v>
      </c>
      <c r="EA192" s="461">
        <v>1.5539393010471867</v>
      </c>
      <c r="EB192" s="461">
        <v>2.9548717213609321</v>
      </c>
      <c r="EC192" s="461">
        <v>0.86682185744357321</v>
      </c>
      <c r="ED192" s="461">
        <v>0.22541199154309477</v>
      </c>
      <c r="EE192" s="461">
        <v>3.442128254530076</v>
      </c>
      <c r="EF192" s="461">
        <v>1.4898999071581374</v>
      </c>
      <c r="EG192" s="461"/>
      <c r="EH192" s="461"/>
      <c r="EI192" s="461">
        <v>3.9891281625968129</v>
      </c>
      <c r="EJ192" s="461">
        <v>7.5149923634296991</v>
      </c>
      <c r="EK192" s="461">
        <v>20.107882870588234</v>
      </c>
      <c r="EL192" s="461">
        <v>0.61932527844488461</v>
      </c>
      <c r="EM192" s="461">
        <v>2.9756583538972246</v>
      </c>
      <c r="EN192" s="461">
        <v>3.3179584601238474</v>
      </c>
      <c r="EO192" s="461">
        <v>8.2463526932399862</v>
      </c>
      <c r="EP192" s="461">
        <v>4.1000818835944042</v>
      </c>
      <c r="EQ192" s="461">
        <v>3.6749057925500512</v>
      </c>
      <c r="ER192" s="461">
        <v>1.3325084476065734</v>
      </c>
      <c r="ES192" s="461">
        <v>9.9856103979828692</v>
      </c>
      <c r="ET192" s="461">
        <v>-7.2137191414841473</v>
      </c>
      <c r="EU192" s="461">
        <v>-1.1493757707435597</v>
      </c>
      <c r="EV192" s="461">
        <v>-1.8268153478657263</v>
      </c>
      <c r="EW192" s="461">
        <v>-0.75368076027714048</v>
      </c>
      <c r="EX192" s="461"/>
      <c r="EY192" s="461">
        <v>0.54644746359692553</v>
      </c>
      <c r="EZ192" s="461">
        <v>0.27050533573143515</v>
      </c>
      <c r="FA192" s="461">
        <v>29.699070282555915</v>
      </c>
      <c r="FB192" s="461">
        <v>55.620361398963404</v>
      </c>
      <c r="FC192" s="461">
        <v>29.796982937703522</v>
      </c>
      <c r="FD192" s="461">
        <v>57.058932663808328</v>
      </c>
      <c r="FE192" s="461">
        <v>0.10388353189022957</v>
      </c>
      <c r="FF192" s="461"/>
      <c r="FG192" s="461"/>
      <c r="FH192" s="461"/>
      <c r="FI192" s="461"/>
      <c r="FJ192" s="461"/>
      <c r="FK192" s="461"/>
      <c r="FL192" s="461"/>
      <c r="FM192" s="461"/>
      <c r="FN192" s="461"/>
      <c r="FO192" s="461"/>
      <c r="FP192" s="461"/>
      <c r="FQ192" s="461"/>
      <c r="FR192" s="461"/>
      <c r="FS192" s="461"/>
      <c r="FT192" s="461"/>
      <c r="FU192" s="461"/>
      <c r="FV192" s="461"/>
      <c r="FW192" s="461"/>
      <c r="FX192" s="461"/>
      <c r="FY192" s="461"/>
      <c r="FZ192" s="461"/>
      <c r="GA192" s="461"/>
      <c r="GB192" s="461"/>
      <c r="GC192" s="461"/>
      <c r="GD192" s="469"/>
      <c r="GE192" s="469"/>
      <c r="GF192" s="469"/>
      <c r="GG192" s="469"/>
      <c r="GH192" s="469"/>
      <c r="GI192" s="469"/>
      <c r="GJ192" s="469"/>
      <c r="GK192" s="469"/>
      <c r="GL192" s="469">
        <v>497.90817031405305</v>
      </c>
      <c r="GM192" s="458"/>
      <c r="GN192" s="469"/>
      <c r="GO192" s="469"/>
      <c r="GP192" s="468"/>
    </row>
    <row r="193" spans="1:198" x14ac:dyDescent="0.25">
      <c r="A193" s="466" t="s">
        <v>1524</v>
      </c>
      <c r="B193" s="469">
        <v>-5.2677114534280187E-2</v>
      </c>
      <c r="C193" s="469">
        <v>-0.25766024336556631</v>
      </c>
      <c r="D193" s="469">
        <v>-1.4026826222712419E-2</v>
      </c>
      <c r="E193" s="469">
        <v>-0.39631973898242928</v>
      </c>
      <c r="F193" s="469">
        <v>-0.61383235246968693</v>
      </c>
      <c r="G193" s="469">
        <v>-0.55950576392116247</v>
      </c>
      <c r="H193" s="469">
        <v>-9.6286571948909008E-2</v>
      </c>
      <c r="I193" s="469">
        <v>-0.26930055648656803</v>
      </c>
      <c r="J193" s="469">
        <v>-1.0434204002763467E-2</v>
      </c>
      <c r="K193" s="469">
        <v>-7.6194585254080044E-2</v>
      </c>
      <c r="L193" s="469">
        <v>-7.5201056389425674E-2</v>
      </c>
      <c r="M193" s="469">
        <v>-1.2745690098975238</v>
      </c>
      <c r="N193" s="469">
        <v>-0.63699966866905511</v>
      </c>
      <c r="O193" s="469">
        <v>-7.4660359047493879E-2</v>
      </c>
      <c r="P193" s="469">
        <v>-0.78195408803073363</v>
      </c>
      <c r="Q193" s="469">
        <v>-3.9740934584734919</v>
      </c>
      <c r="R193" s="469">
        <v>-1.3278365761113832E-2</v>
      </c>
      <c r="S193" s="469">
        <v>-3.4866795508793849</v>
      </c>
      <c r="T193" s="469">
        <v>-1.6471272678019582</v>
      </c>
      <c r="U193" s="469">
        <v>-0.80220765632929147</v>
      </c>
      <c r="V193" s="469">
        <v>-3.7019433655024858E-2</v>
      </c>
      <c r="W193" s="469">
        <v>-1.8165714616199799E-2</v>
      </c>
      <c r="X193" s="469">
        <v>-6.0961913366570808E-2</v>
      </c>
      <c r="Y193" s="469">
        <v>-7.8428335751476244E-3</v>
      </c>
      <c r="Z193" s="469">
        <v>-7.9176701469035105E-2</v>
      </c>
      <c r="AA193" s="469">
        <v>-0.13009959997463472</v>
      </c>
      <c r="AB193" s="469">
        <v>-0.19020348262080344</v>
      </c>
      <c r="AC193" s="469">
        <v>-8.4942230381071238E-3</v>
      </c>
      <c r="AD193" s="469">
        <v>-0.25245377242318434</v>
      </c>
      <c r="AE193" s="469">
        <v>-1.349326119490768E-2</v>
      </c>
      <c r="AF193" s="469">
        <v>-8.4220497053098878E-3</v>
      </c>
      <c r="AG193" s="469">
        <v>-1.905502567860963E-3</v>
      </c>
      <c r="AH193" s="469">
        <v>-3.8248825043821488E-2</v>
      </c>
      <c r="AI193" s="469">
        <v>-9.1354322084956585E-2</v>
      </c>
      <c r="AJ193" s="469">
        <v>1.9257229486794092E-2</v>
      </c>
      <c r="AK193" s="469">
        <v>7.5545890722346076E-3</v>
      </c>
      <c r="AL193" s="469">
        <v>8.628960785095896E-4</v>
      </c>
      <c r="AM193" s="469">
        <v>1.4396819134195951E-3</v>
      </c>
      <c r="AN193" s="469">
        <v>1.7085030449820682E-2</v>
      </c>
      <c r="AO193" s="469">
        <v>1.5029644915819171</v>
      </c>
      <c r="AP193" s="469">
        <v>8.5094413336901931E-3</v>
      </c>
      <c r="AQ193" s="469">
        <v>-13.87805582352779</v>
      </c>
      <c r="AR193" s="469">
        <v>1.0091803279209255E-2</v>
      </c>
      <c r="AS193" s="469">
        <v>0.20754544732775113</v>
      </c>
      <c r="AT193" s="469">
        <v>1.8679090259497604</v>
      </c>
      <c r="AU193" s="469">
        <v>1.1135085327435323</v>
      </c>
      <c r="AV193" s="469">
        <v>5.6379264466568629E-2</v>
      </c>
      <c r="AW193" s="469">
        <v>8.8035583778913573E-2</v>
      </c>
      <c r="AX193" s="469">
        <v>0.43792482650567521</v>
      </c>
      <c r="AY193" s="469">
        <v>-11.941616378882259</v>
      </c>
      <c r="AZ193" s="469">
        <v>-11.641349250966261</v>
      </c>
      <c r="BA193" s="469">
        <v>3.0444300988811346E-2</v>
      </c>
      <c r="BB193" s="469">
        <v>1.9674151885044955E-2</v>
      </c>
      <c r="BC193" s="469">
        <v>-1.1396764267355833E-5</v>
      </c>
      <c r="BD193" s="469">
        <v>-2.8038132176436605E-6</v>
      </c>
      <c r="BE193" s="469">
        <v>1.0164573228623772E-2</v>
      </c>
      <c r="BF193" s="469">
        <v>4.0154153562384498E-3</v>
      </c>
      <c r="BG193" s="469">
        <v>3.4959597539553355E-2</v>
      </c>
      <c r="BH193" s="469">
        <v>5.2463862526286043E-3</v>
      </c>
      <c r="BI193" s="469">
        <v>5.3855469324590455E-3</v>
      </c>
      <c r="BJ193" s="469">
        <v>9.6080915280192247E-3</v>
      </c>
      <c r="BK193" s="469"/>
      <c r="BL193" s="469">
        <v>-0.14680969533315402</v>
      </c>
      <c r="BM193" s="469">
        <v>1.9681811566182095E-2</v>
      </c>
      <c r="BN193" s="469">
        <v>-1.8400589887302585</v>
      </c>
      <c r="BO193" s="469">
        <v>-0.36338969715172631</v>
      </c>
      <c r="BP193" s="469">
        <v>0.43426788783652542</v>
      </c>
      <c r="BQ193" s="469">
        <v>-0.17559604349725255</v>
      </c>
      <c r="BR193" s="469">
        <v>-0.12123810233171549</v>
      </c>
      <c r="BS193" s="469">
        <v>-0.11169055937424147</v>
      </c>
      <c r="BT193" s="469"/>
      <c r="BU193" s="469">
        <v>-0.15622195462656346</v>
      </c>
      <c r="BV193" s="469">
        <v>-0.16782338767124461</v>
      </c>
      <c r="BW193" s="469">
        <v>-0.33643513258463864</v>
      </c>
      <c r="BX193" s="469">
        <v>-6.2078527194532676</v>
      </c>
      <c r="BY193" s="469">
        <v>-0.7733950616799965</v>
      </c>
      <c r="BZ193" s="469">
        <v>-1.5798024271773565</v>
      </c>
      <c r="CA193" s="469"/>
      <c r="CB193" s="469"/>
      <c r="CC193" s="469"/>
      <c r="CD193" s="469"/>
      <c r="CE193" s="469"/>
      <c r="CF193" s="469"/>
      <c r="CG193" s="469"/>
      <c r="CH193" s="469"/>
      <c r="CI193" s="469"/>
      <c r="CJ193" s="469"/>
      <c r="CK193" s="469"/>
      <c r="CL193" s="469"/>
      <c r="CM193" s="469"/>
      <c r="CN193" s="469"/>
      <c r="CO193" s="469"/>
      <c r="CP193" s="469"/>
      <c r="CQ193" s="469"/>
      <c r="CR193" s="469"/>
      <c r="CS193" s="469"/>
      <c r="CT193" s="473"/>
      <c r="CU193" s="474"/>
      <c r="CV193" s="469"/>
      <c r="CW193" s="469"/>
      <c r="CX193" s="469"/>
      <c r="CY193" s="469"/>
      <c r="CZ193" s="469"/>
      <c r="DA193" s="469"/>
      <c r="DB193" s="469"/>
      <c r="DC193" s="469"/>
      <c r="DD193" s="469"/>
      <c r="DE193" s="469"/>
      <c r="DF193" s="469"/>
      <c r="DG193" s="469"/>
      <c r="DH193" s="469"/>
      <c r="DI193" s="469"/>
      <c r="DJ193" s="469"/>
      <c r="DK193" s="469"/>
      <c r="DL193" s="469"/>
      <c r="DM193" s="469"/>
      <c r="DN193" s="469"/>
      <c r="DO193" s="469"/>
      <c r="DP193" s="469"/>
      <c r="DQ193" s="469"/>
      <c r="DR193" s="469"/>
      <c r="DS193" s="469"/>
      <c r="DT193" s="469"/>
      <c r="DU193" s="469"/>
      <c r="DV193" s="469"/>
      <c r="DW193" s="469"/>
      <c r="DX193" s="469"/>
      <c r="DY193" s="469"/>
      <c r="DZ193" s="469"/>
      <c r="EA193" s="469"/>
      <c r="EB193" s="469"/>
      <c r="EC193" s="469"/>
      <c r="ED193" s="469"/>
      <c r="EE193" s="469"/>
      <c r="EF193" s="469"/>
      <c r="EG193" s="469"/>
      <c r="EH193" s="469"/>
      <c r="EI193" s="469"/>
      <c r="EJ193" s="469"/>
      <c r="EK193" s="469"/>
      <c r="EL193" s="469"/>
      <c r="EM193" s="469"/>
      <c r="EN193" s="469"/>
      <c r="EO193" s="469"/>
      <c r="EP193" s="469"/>
      <c r="EQ193" s="469"/>
      <c r="ER193" s="469"/>
      <c r="ES193" s="469"/>
      <c r="ET193" s="469"/>
      <c r="EU193" s="469"/>
      <c r="EV193" s="469"/>
      <c r="EW193" s="469"/>
      <c r="EX193" s="469"/>
      <c r="EY193" s="469"/>
      <c r="EZ193" s="469"/>
      <c r="FA193" s="469"/>
      <c r="FB193" s="469"/>
      <c r="FC193" s="469"/>
      <c r="FD193" s="469"/>
      <c r="FE193" s="469"/>
      <c r="FF193" s="469"/>
      <c r="FG193" s="469"/>
      <c r="FH193" s="469"/>
      <c r="FI193" s="469"/>
      <c r="FJ193" s="469"/>
      <c r="FK193" s="469"/>
      <c r="FL193" s="469"/>
      <c r="FM193" s="469"/>
      <c r="FN193" s="469"/>
      <c r="FO193" s="469"/>
      <c r="FP193" s="469">
        <v>1.9461343482163658</v>
      </c>
      <c r="FQ193" s="469">
        <v>2.4148428280321306</v>
      </c>
      <c r="FR193" s="469">
        <v>2.8254702484791685</v>
      </c>
      <c r="FS193" s="469">
        <v>3.3703311271613861</v>
      </c>
      <c r="FT193" s="469">
        <v>4.0286123288821916</v>
      </c>
      <c r="FU193" s="469">
        <v>4.9206353765041984</v>
      </c>
      <c r="FV193" s="469">
        <v>5.7116567629305308</v>
      </c>
      <c r="FW193" s="469">
        <v>8.4568348422094637</v>
      </c>
      <c r="FX193" s="469">
        <v>10.390206255917532</v>
      </c>
      <c r="FY193" s="469">
        <v>15.514959771953539</v>
      </c>
      <c r="FZ193" s="469"/>
      <c r="GA193" s="469"/>
      <c r="GB193" s="469"/>
      <c r="GC193" s="469"/>
      <c r="GD193" s="469"/>
      <c r="GE193" s="469"/>
      <c r="GF193" s="469"/>
      <c r="GG193" s="469"/>
      <c r="GH193" s="469"/>
      <c r="GI193" s="469"/>
      <c r="GJ193" s="469"/>
      <c r="GK193" s="469"/>
      <c r="GL193" s="469">
        <v>-1.5987211554602254E-14</v>
      </c>
      <c r="GM193" s="458"/>
      <c r="GN193" s="469"/>
      <c r="GO193" s="469"/>
      <c r="GP193" s="468"/>
    </row>
    <row r="194" spans="1:198" x14ac:dyDescent="0.25">
      <c r="A194" s="466" t="s">
        <v>1523</v>
      </c>
      <c r="B194" s="469"/>
      <c r="C194" s="469"/>
      <c r="D194" s="469"/>
      <c r="E194" s="469"/>
      <c r="F194" s="469"/>
      <c r="G194" s="469"/>
      <c r="H194" s="469"/>
      <c r="I194" s="469"/>
      <c r="J194" s="469"/>
      <c r="K194" s="469"/>
      <c r="L194" s="469"/>
      <c r="M194" s="469"/>
      <c r="N194" s="469"/>
      <c r="O194" s="469"/>
      <c r="P194" s="469"/>
      <c r="Q194" s="469"/>
      <c r="R194" s="469"/>
      <c r="S194" s="469"/>
      <c r="T194" s="469"/>
      <c r="U194" s="469"/>
      <c r="V194" s="469"/>
      <c r="W194" s="469"/>
      <c r="X194" s="469"/>
      <c r="Y194" s="469"/>
      <c r="Z194" s="469"/>
      <c r="AA194" s="469"/>
      <c r="AB194" s="469"/>
      <c r="AC194" s="469"/>
      <c r="AD194" s="469"/>
      <c r="AE194" s="469"/>
      <c r="AF194" s="469"/>
      <c r="AG194" s="469"/>
      <c r="AH194" s="469"/>
      <c r="AI194" s="469"/>
      <c r="AJ194" s="469"/>
      <c r="AK194" s="469"/>
      <c r="AL194" s="469"/>
      <c r="AM194" s="469"/>
      <c r="AN194" s="469"/>
      <c r="AO194" s="469"/>
      <c r="AP194" s="469"/>
      <c r="AQ194" s="469">
        <v>-9.5280118019087485</v>
      </c>
      <c r="AR194" s="469"/>
      <c r="AS194" s="469">
        <v>-1.4258378741028485E-2</v>
      </c>
      <c r="AT194" s="469">
        <v>-0.1283254086692564</v>
      </c>
      <c r="AU194" s="469">
        <v>-4.189026180999128E-2</v>
      </c>
      <c r="AV194" s="469">
        <v>-2.4313242100621558E-2</v>
      </c>
      <c r="AW194" s="469">
        <v>-4.6719581011896855E-3</v>
      </c>
      <c r="AX194" s="469"/>
      <c r="AY194" s="469"/>
      <c r="AZ194" s="469"/>
      <c r="BA194" s="469"/>
      <c r="BB194" s="469"/>
      <c r="BC194" s="469"/>
      <c r="BD194" s="469"/>
      <c r="BE194" s="469"/>
      <c r="BF194" s="469"/>
      <c r="BG194" s="469"/>
      <c r="BH194" s="469"/>
      <c r="BI194" s="469"/>
      <c r="BJ194" s="469"/>
      <c r="BK194" s="469">
        <v>9.7414710513308442</v>
      </c>
      <c r="BL194" s="469"/>
      <c r="BM194" s="469"/>
      <c r="BN194" s="469"/>
      <c r="BO194" s="469"/>
      <c r="BP194" s="469"/>
      <c r="BQ194" s="469"/>
      <c r="BR194" s="469"/>
      <c r="BS194" s="469"/>
      <c r="BT194" s="469"/>
      <c r="BU194" s="469"/>
      <c r="BV194" s="469"/>
      <c r="BW194" s="469"/>
      <c r="BX194" s="469"/>
      <c r="BY194" s="469"/>
      <c r="BZ194" s="469"/>
      <c r="CA194" s="469"/>
      <c r="CB194" s="469"/>
      <c r="CC194" s="469"/>
      <c r="CD194" s="469"/>
      <c r="CE194" s="469"/>
      <c r="CF194" s="469"/>
      <c r="CG194" s="469"/>
      <c r="CH194" s="469"/>
      <c r="CI194" s="469"/>
      <c r="CJ194" s="469"/>
      <c r="CK194" s="469"/>
      <c r="CL194" s="469"/>
      <c r="CM194" s="469"/>
      <c r="CN194" s="469"/>
      <c r="CO194" s="469"/>
      <c r="CP194" s="469"/>
      <c r="CQ194" s="469"/>
      <c r="CR194" s="469"/>
      <c r="CS194" s="469"/>
      <c r="CT194" s="469"/>
      <c r="CU194" s="469"/>
      <c r="CV194" s="469"/>
      <c r="CW194" s="469"/>
      <c r="CX194" s="469"/>
      <c r="CY194" s="469"/>
      <c r="CZ194" s="469"/>
      <c r="DA194" s="469"/>
      <c r="DB194" s="469"/>
      <c r="DC194" s="469"/>
      <c r="DD194" s="469"/>
      <c r="DE194" s="469"/>
      <c r="DF194" s="469"/>
      <c r="DG194" s="469"/>
      <c r="DH194" s="469"/>
      <c r="DI194" s="469"/>
      <c r="DJ194" s="469"/>
      <c r="DK194" s="469"/>
      <c r="DL194" s="469"/>
      <c r="DM194" s="469"/>
      <c r="DN194" s="469"/>
      <c r="DO194" s="469"/>
      <c r="DP194" s="469"/>
      <c r="DQ194" s="469"/>
      <c r="DR194" s="469"/>
      <c r="DS194" s="469"/>
      <c r="DT194" s="469"/>
      <c r="DU194" s="469"/>
      <c r="DV194" s="469"/>
      <c r="DW194" s="469"/>
      <c r="DX194" s="469"/>
      <c r="DY194" s="469"/>
      <c r="DZ194" s="469"/>
      <c r="EA194" s="469"/>
      <c r="EB194" s="469"/>
      <c r="EC194" s="469"/>
      <c r="ED194" s="469"/>
      <c r="EE194" s="469"/>
      <c r="EF194" s="469"/>
      <c r="EG194" s="469"/>
      <c r="EH194" s="469"/>
      <c r="EI194" s="469"/>
      <c r="EJ194" s="469"/>
      <c r="EK194" s="469"/>
      <c r="EL194" s="469"/>
      <c r="EM194" s="469"/>
      <c r="EN194" s="469"/>
      <c r="EO194" s="469"/>
      <c r="EP194" s="469"/>
      <c r="EQ194" s="469"/>
      <c r="ER194" s="469"/>
      <c r="ES194" s="469"/>
      <c r="ET194" s="469"/>
      <c r="EU194" s="469"/>
      <c r="EV194" s="469"/>
      <c r="EW194" s="469"/>
      <c r="EX194" s="469"/>
      <c r="EY194" s="469"/>
      <c r="EZ194" s="469"/>
      <c r="FA194" s="469"/>
      <c r="FB194" s="469"/>
      <c r="FC194" s="469"/>
      <c r="FD194" s="469"/>
      <c r="FE194" s="469"/>
      <c r="FF194" s="469"/>
      <c r="FG194" s="469"/>
      <c r="FH194" s="469"/>
      <c r="FI194" s="469"/>
      <c r="FJ194" s="469"/>
      <c r="FK194" s="469"/>
      <c r="FL194" s="469"/>
      <c r="FM194" s="469"/>
      <c r="FN194" s="469"/>
      <c r="FO194" s="469"/>
      <c r="FP194" s="469"/>
      <c r="FQ194" s="469"/>
      <c r="FR194" s="469"/>
      <c r="FS194" s="469"/>
      <c r="FT194" s="469"/>
      <c r="FU194" s="469"/>
      <c r="FV194" s="469"/>
      <c r="FW194" s="469"/>
      <c r="FX194" s="469"/>
      <c r="FY194" s="469"/>
      <c r="FZ194" s="469"/>
      <c r="GA194" s="469"/>
      <c r="GB194" s="469"/>
      <c r="GC194" s="469"/>
      <c r="GD194" s="469"/>
      <c r="GE194" s="469"/>
      <c r="GF194" s="469"/>
      <c r="GG194" s="469"/>
      <c r="GH194" s="469"/>
      <c r="GI194" s="469"/>
      <c r="GJ194" s="469"/>
      <c r="GK194" s="469"/>
      <c r="GL194" s="469">
        <v>8.8817841970012523E-15</v>
      </c>
      <c r="GM194" s="458"/>
      <c r="GN194" s="469"/>
      <c r="GO194" s="469"/>
      <c r="GP194" s="468"/>
    </row>
    <row r="195" spans="1:198" x14ac:dyDescent="0.25">
      <c r="A195" s="466" t="s">
        <v>1522</v>
      </c>
      <c r="B195" s="469">
        <v>-1.1358749758955294E-3</v>
      </c>
      <c r="C195" s="469">
        <v>-4.4774024634115948E-3</v>
      </c>
      <c r="D195" s="469">
        <v>-1.9182628812555415E-4</v>
      </c>
      <c r="E195" s="469">
        <v>-3.2211904485644179E-3</v>
      </c>
      <c r="F195" s="469">
        <v>-1.2640485974188143E-2</v>
      </c>
      <c r="G195" s="469">
        <v>-4.2996023859357985E-3</v>
      </c>
      <c r="H195" s="469">
        <v>-1.5588282269740324E-3</v>
      </c>
      <c r="I195" s="469">
        <v>-1.9852095682270036E-3</v>
      </c>
      <c r="J195" s="469">
        <v>-1.7883778303914434E-4</v>
      </c>
      <c r="K195" s="469">
        <v>-1.9860303596689359E-3</v>
      </c>
      <c r="L195" s="469">
        <v>-4.679688548634034E-4</v>
      </c>
      <c r="M195" s="469">
        <v>-1.2355649510626782E-3</v>
      </c>
      <c r="N195" s="469"/>
      <c r="O195" s="469"/>
      <c r="P195" s="469"/>
      <c r="Q195" s="469">
        <v>0.34272313310059255</v>
      </c>
      <c r="R195" s="469">
        <v>9.5209919714127761E-3</v>
      </c>
      <c r="S195" s="469"/>
      <c r="T195" s="469">
        <v>2.7066812970545575</v>
      </c>
      <c r="U195" s="469">
        <v>0.5752072802275604</v>
      </c>
      <c r="V195" s="469">
        <v>-8.958201308337032E-3</v>
      </c>
      <c r="W195" s="469">
        <v>-1.397265139607954E-2</v>
      </c>
      <c r="X195" s="469">
        <v>-3.0965173985707986E-2</v>
      </c>
      <c r="Y195" s="469">
        <v>-7.3642708667479989E-3</v>
      </c>
      <c r="Z195" s="469">
        <v>-1.3741733054773837E-2</v>
      </c>
      <c r="AA195" s="469">
        <v>-1.0166603563096445E-3</v>
      </c>
      <c r="AB195" s="469"/>
      <c r="AC195" s="469">
        <v>-3.6064035119468311E-4</v>
      </c>
      <c r="AD195" s="469">
        <v>-3.177759246643802E-2</v>
      </c>
      <c r="AE195" s="469">
        <v>-4.2143557552154071E-2</v>
      </c>
      <c r="AF195" s="469"/>
      <c r="AG195" s="469"/>
      <c r="AH195" s="469">
        <v>-1.5931299908648229E-2</v>
      </c>
      <c r="AI195" s="469">
        <v>-4.6922564571367217E-2</v>
      </c>
      <c r="AJ195" s="469">
        <v>-1.3808180774440066</v>
      </c>
      <c r="AK195" s="469">
        <v>-0.42579048074410658</v>
      </c>
      <c r="AL195" s="469">
        <v>-2.2963795329581226E-2</v>
      </c>
      <c r="AM195" s="469">
        <v>-5.7803398770250036E-3</v>
      </c>
      <c r="AN195" s="469">
        <v>-0.94286106435569261</v>
      </c>
      <c r="AO195" s="469">
        <v>1.4636790799106763</v>
      </c>
      <c r="AP195" s="469">
        <v>-0.14979546680930481</v>
      </c>
      <c r="AQ195" s="469"/>
      <c r="AR195" s="469"/>
      <c r="AS195" s="469"/>
      <c r="AT195" s="469"/>
      <c r="AU195" s="469"/>
      <c r="AV195" s="469"/>
      <c r="AW195" s="469"/>
      <c r="AX195" s="469">
        <v>-0.62821289607913933</v>
      </c>
      <c r="AY195" s="469">
        <v>-3.4220359915314624</v>
      </c>
      <c r="AZ195" s="469">
        <v>-7.6827997064498471E-4</v>
      </c>
      <c r="BA195" s="469">
        <v>-0.30922109253597124</v>
      </c>
      <c r="BB195" s="469">
        <v>-0.16426839061445264</v>
      </c>
      <c r="BC195" s="469">
        <v>-1.2571234933581288E-3</v>
      </c>
      <c r="BD195" s="469">
        <v>-3.0927545610326721E-4</v>
      </c>
      <c r="BE195" s="469">
        <v>-9.1240004946859993E-2</v>
      </c>
      <c r="BF195" s="469">
        <v>-3.1202979060233324E-2</v>
      </c>
      <c r="BG195" s="469">
        <v>-1.8062773734180766E-2</v>
      </c>
      <c r="BH195" s="469">
        <v>-2.477246783539265E-2</v>
      </c>
      <c r="BI195" s="469">
        <v>-0.14819743798973536</v>
      </c>
      <c r="BJ195" s="469">
        <v>-5.816858213891464E-2</v>
      </c>
      <c r="BK195" s="469"/>
      <c r="BL195" s="469">
        <v>1.2652202538010373</v>
      </c>
      <c r="BM195" s="469"/>
      <c r="BN195" s="469"/>
      <c r="BO195" s="469">
        <v>3.5981741124098965E-2</v>
      </c>
      <c r="BP195" s="469"/>
      <c r="BQ195" s="469"/>
      <c r="BR195" s="469"/>
      <c r="BS195" s="469"/>
      <c r="BT195" s="469"/>
      <c r="BU195" s="469">
        <v>0.10758985015566552</v>
      </c>
      <c r="BV195" s="469">
        <v>1.4486414221933936E-3</v>
      </c>
      <c r="BW195" s="469"/>
      <c r="BX195" s="469">
        <v>0.88216621979389997</v>
      </c>
      <c r="BY195" s="469">
        <v>0.57742312108018079</v>
      </c>
      <c r="BZ195" s="469">
        <v>0.10461807840200432</v>
      </c>
      <c r="CA195" s="469"/>
      <c r="CB195" s="469"/>
      <c r="CC195" s="469"/>
      <c r="CD195" s="469"/>
      <c r="CE195" s="469"/>
      <c r="CF195" s="469"/>
      <c r="CG195" s="469"/>
      <c r="CH195" s="469"/>
      <c r="CI195" s="469"/>
      <c r="CJ195" s="469"/>
      <c r="CK195" s="469"/>
      <c r="CL195" s="469"/>
      <c r="CM195" s="469"/>
      <c r="CN195" s="469"/>
      <c r="CO195" s="469"/>
      <c r="CP195" s="469"/>
      <c r="CQ195" s="469"/>
      <c r="CR195" s="469"/>
      <c r="CS195" s="469"/>
      <c r="CT195" s="469"/>
      <c r="CU195" s="469"/>
      <c r="CV195" s="469"/>
      <c r="CW195" s="469"/>
      <c r="CX195" s="469"/>
      <c r="CY195" s="469"/>
      <c r="CZ195" s="469"/>
      <c r="DA195" s="469"/>
      <c r="DB195" s="469"/>
      <c r="DC195" s="469"/>
      <c r="DD195" s="469"/>
      <c r="DE195" s="469"/>
      <c r="DF195" s="469"/>
      <c r="DG195" s="469"/>
      <c r="DH195" s="469"/>
      <c r="DI195" s="469"/>
      <c r="DJ195" s="469"/>
      <c r="DK195" s="469"/>
      <c r="DL195" s="469"/>
      <c r="DM195" s="469"/>
      <c r="DN195" s="469"/>
      <c r="DO195" s="469"/>
      <c r="DP195" s="469"/>
      <c r="DQ195" s="469"/>
      <c r="DR195" s="469"/>
      <c r="DS195" s="469"/>
      <c r="DT195" s="469"/>
      <c r="DU195" s="469"/>
      <c r="DV195" s="469"/>
      <c r="DW195" s="469"/>
      <c r="DX195" s="469"/>
      <c r="DY195" s="469"/>
      <c r="DZ195" s="469"/>
      <c r="EA195" s="469"/>
      <c r="EB195" s="469"/>
      <c r="EC195" s="469"/>
      <c r="ED195" s="469"/>
      <c r="EE195" s="469"/>
      <c r="EF195" s="469"/>
      <c r="EG195" s="469"/>
      <c r="EH195" s="469"/>
      <c r="EI195" s="469"/>
      <c r="EJ195" s="469"/>
      <c r="EK195" s="469"/>
      <c r="EL195" s="469"/>
      <c r="EM195" s="469"/>
      <c r="EN195" s="469"/>
      <c r="EO195" s="469"/>
      <c r="EP195" s="469"/>
      <c r="EQ195" s="469"/>
      <c r="ER195" s="469"/>
      <c r="ES195" s="469"/>
      <c r="ET195" s="469"/>
      <c r="EU195" s="469"/>
      <c r="EV195" s="469"/>
      <c r="EW195" s="469"/>
      <c r="EX195" s="469"/>
      <c r="EY195" s="469"/>
      <c r="EZ195" s="469"/>
      <c r="FA195" s="469"/>
      <c r="FB195" s="469"/>
      <c r="FC195" s="469"/>
      <c r="FD195" s="469"/>
      <c r="FE195" s="469"/>
      <c r="FF195" s="469"/>
      <c r="FG195" s="469"/>
      <c r="FH195" s="469"/>
      <c r="FI195" s="469"/>
      <c r="FJ195" s="469"/>
      <c r="FK195" s="469"/>
      <c r="FL195" s="469"/>
      <c r="FM195" s="469"/>
      <c r="FN195" s="469"/>
      <c r="FO195" s="469"/>
      <c r="FP195" s="469"/>
      <c r="FQ195" s="469">
        <v>1.3877787807814457E-17</v>
      </c>
      <c r="FR195" s="469">
        <v>3.4694469519536142E-18</v>
      </c>
      <c r="FS195" s="469">
        <v>3.4694469519536142E-18</v>
      </c>
      <c r="FT195" s="469">
        <v>1.3877787807814457E-17</v>
      </c>
      <c r="FU195" s="469"/>
      <c r="FV195" s="469">
        <v>-1.3877787807814457E-17</v>
      </c>
      <c r="FW195" s="469">
        <v>-6.9388939039072284E-18</v>
      </c>
      <c r="FX195" s="469"/>
      <c r="FY195" s="469"/>
      <c r="FZ195" s="469"/>
      <c r="GA195" s="469"/>
      <c r="GB195" s="469"/>
      <c r="GC195" s="469"/>
      <c r="GD195" s="469"/>
      <c r="GE195" s="469"/>
      <c r="GF195" s="469"/>
      <c r="GG195" s="469"/>
      <c r="GH195" s="469"/>
      <c r="GI195" s="469"/>
      <c r="GJ195" s="469"/>
      <c r="GK195" s="469"/>
      <c r="GL195" s="469">
        <v>-6.5225602696727947E-16</v>
      </c>
      <c r="GM195" s="458"/>
      <c r="GN195" s="469"/>
      <c r="GO195" s="469"/>
      <c r="GP195" s="468"/>
    </row>
    <row r="196" spans="1:198" x14ac:dyDescent="0.25">
      <c r="A196" s="466" t="s">
        <v>1521</v>
      </c>
      <c r="B196" s="469"/>
      <c r="C196" s="469"/>
      <c r="D196" s="469"/>
      <c r="E196" s="469"/>
      <c r="F196" s="469"/>
      <c r="G196" s="469"/>
      <c r="H196" s="469"/>
      <c r="I196" s="469"/>
      <c r="J196" s="469"/>
      <c r="K196" s="469"/>
      <c r="L196" s="469"/>
      <c r="M196" s="469"/>
      <c r="N196" s="469"/>
      <c r="O196" s="469"/>
      <c r="P196" s="469"/>
      <c r="Q196" s="469"/>
      <c r="R196" s="469"/>
      <c r="S196" s="469"/>
      <c r="T196" s="469"/>
      <c r="U196" s="469"/>
      <c r="V196" s="469"/>
      <c r="W196" s="469"/>
      <c r="X196" s="469"/>
      <c r="Y196" s="469"/>
      <c r="Z196" s="469"/>
      <c r="AA196" s="469"/>
      <c r="AB196" s="469"/>
      <c r="AC196" s="469"/>
      <c r="AD196" s="469"/>
      <c r="AE196" s="469"/>
      <c r="AF196" s="469"/>
      <c r="AG196" s="469"/>
      <c r="AH196" s="469"/>
      <c r="AI196" s="469"/>
      <c r="AJ196" s="469"/>
      <c r="AK196" s="469"/>
      <c r="AL196" s="469"/>
      <c r="AM196" s="469"/>
      <c r="AN196" s="469"/>
      <c r="AO196" s="469"/>
      <c r="AP196" s="469"/>
      <c r="AQ196" s="469"/>
      <c r="AR196" s="469"/>
      <c r="AS196" s="469"/>
      <c r="AT196" s="469"/>
      <c r="AU196" s="469"/>
      <c r="AV196" s="469"/>
      <c r="AW196" s="469"/>
      <c r="AX196" s="469"/>
      <c r="AY196" s="469"/>
      <c r="AZ196" s="469"/>
      <c r="BA196" s="469"/>
      <c r="BB196" s="469"/>
      <c r="BC196" s="469"/>
      <c r="BD196" s="469"/>
      <c r="BE196" s="469"/>
      <c r="BF196" s="469"/>
      <c r="BG196" s="469"/>
      <c r="BH196" s="469"/>
      <c r="BI196" s="469"/>
      <c r="BJ196" s="469"/>
      <c r="BK196" s="469"/>
      <c r="BL196" s="469"/>
      <c r="BM196" s="469"/>
      <c r="BN196" s="469"/>
      <c r="BO196" s="469"/>
      <c r="BP196" s="469"/>
      <c r="BQ196" s="469"/>
      <c r="BR196" s="469"/>
      <c r="BS196" s="469"/>
      <c r="BT196" s="469"/>
      <c r="BU196" s="469"/>
      <c r="BV196" s="469"/>
      <c r="BW196" s="469"/>
      <c r="BX196" s="469"/>
      <c r="BY196" s="469"/>
      <c r="BZ196" s="469"/>
      <c r="CA196" s="469"/>
      <c r="CB196" s="469"/>
      <c r="CC196" s="469"/>
      <c r="CD196" s="469"/>
      <c r="CE196" s="469"/>
      <c r="CF196" s="469"/>
      <c r="CG196" s="469"/>
      <c r="CH196" s="469"/>
      <c r="CI196" s="469"/>
      <c r="CJ196" s="469"/>
      <c r="CK196" s="469"/>
      <c r="CL196" s="469"/>
      <c r="CM196" s="469"/>
      <c r="CN196" s="469"/>
      <c r="CO196" s="469"/>
      <c r="CP196" s="469"/>
      <c r="CQ196" s="469"/>
      <c r="CR196" s="469"/>
      <c r="CS196" s="469"/>
      <c r="CT196" s="469"/>
      <c r="CU196" s="469"/>
      <c r="CV196" s="469"/>
      <c r="CW196" s="469"/>
      <c r="CX196" s="469"/>
      <c r="CY196" s="469"/>
      <c r="CZ196" s="469"/>
      <c r="DA196" s="469"/>
      <c r="DB196" s="469"/>
      <c r="DC196" s="469"/>
      <c r="DD196" s="469"/>
      <c r="DE196" s="469"/>
      <c r="DF196" s="469"/>
      <c r="DG196" s="469"/>
      <c r="DH196" s="469"/>
      <c r="DI196" s="469"/>
      <c r="DJ196" s="469"/>
      <c r="DK196" s="469"/>
      <c r="DL196" s="469"/>
      <c r="DM196" s="469"/>
      <c r="DN196" s="469"/>
      <c r="DO196" s="469"/>
      <c r="DP196" s="469"/>
      <c r="DQ196" s="469"/>
      <c r="DR196" s="469"/>
      <c r="DS196" s="469"/>
      <c r="DT196" s="469"/>
      <c r="DU196" s="469"/>
      <c r="DV196" s="469"/>
      <c r="DW196" s="469"/>
      <c r="DX196" s="469"/>
      <c r="DY196" s="469"/>
      <c r="DZ196" s="469"/>
      <c r="EA196" s="469"/>
      <c r="EB196" s="469"/>
      <c r="EC196" s="469"/>
      <c r="ED196" s="469"/>
      <c r="EE196" s="469"/>
      <c r="EF196" s="469"/>
      <c r="EG196" s="469"/>
      <c r="EH196" s="469"/>
      <c r="EI196" s="469"/>
      <c r="EJ196" s="469"/>
      <c r="EK196" s="469"/>
      <c r="EL196" s="469"/>
      <c r="EM196" s="469"/>
      <c r="EN196" s="469"/>
      <c r="EO196" s="469"/>
      <c r="EP196" s="469"/>
      <c r="EQ196" s="469"/>
      <c r="ER196" s="469"/>
      <c r="ES196" s="469"/>
      <c r="ET196" s="469"/>
      <c r="EU196" s="469"/>
      <c r="EV196" s="469"/>
      <c r="EW196" s="469"/>
      <c r="EX196" s="469"/>
      <c r="EY196" s="469"/>
      <c r="EZ196" s="469"/>
      <c r="FA196" s="469"/>
      <c r="FB196" s="469"/>
      <c r="FC196" s="469"/>
      <c r="FD196" s="469"/>
      <c r="FE196" s="469"/>
      <c r="FF196" s="469"/>
      <c r="FG196" s="469"/>
      <c r="FH196" s="469"/>
      <c r="FI196" s="469"/>
      <c r="FJ196" s="469"/>
      <c r="FK196" s="469"/>
      <c r="FL196" s="469"/>
      <c r="FM196" s="469"/>
      <c r="FN196" s="469">
        <v>634.29095094807133</v>
      </c>
      <c r="FO196" s="469">
        <v>28.883383244211387</v>
      </c>
      <c r="FP196" s="469">
        <v>5.6457937045345165E-2</v>
      </c>
      <c r="FQ196" s="469">
        <v>8.9183024556100471E-2</v>
      </c>
      <c r="FR196" s="469">
        <v>0.15069388134331901</v>
      </c>
      <c r="FS196" s="469">
        <v>0.29970925487379368</v>
      </c>
      <c r="FT196" s="469">
        <v>0.4295666041969699</v>
      </c>
      <c r="FU196" s="469">
        <v>0.66273617400647256</v>
      </c>
      <c r="FV196" s="469">
        <v>0.9044334193496012</v>
      </c>
      <c r="FW196" s="469">
        <v>1.6367747641556913</v>
      </c>
      <c r="FX196" s="469">
        <v>3.7804416834443564</v>
      </c>
      <c r="FY196" s="469">
        <v>61.826498903553933</v>
      </c>
      <c r="FZ196" s="469">
        <v>-11.965313535999675</v>
      </c>
      <c r="GA196" s="469"/>
      <c r="GB196" s="469"/>
      <c r="GC196" s="469"/>
      <c r="GD196" s="469"/>
      <c r="GE196" s="469"/>
      <c r="GF196" s="469"/>
      <c r="GG196" s="469"/>
      <c r="GH196" s="469"/>
      <c r="GI196" s="469"/>
      <c r="GJ196" s="469"/>
      <c r="GK196" s="469">
        <v>160.3212285658733</v>
      </c>
      <c r="GL196" s="469">
        <v>881.36674486868185</v>
      </c>
      <c r="GM196" s="458"/>
      <c r="GN196" s="469"/>
      <c r="GO196" s="469"/>
      <c r="GP196" s="468"/>
    </row>
    <row r="197" spans="1:198" x14ac:dyDescent="0.25">
      <c r="A197" s="466" t="s">
        <v>1520</v>
      </c>
      <c r="B197" s="469"/>
      <c r="C197" s="469"/>
      <c r="D197" s="469"/>
      <c r="E197" s="469"/>
      <c r="F197" s="469"/>
      <c r="G197" s="469"/>
      <c r="H197" s="469"/>
      <c r="I197" s="469"/>
      <c r="J197" s="469"/>
      <c r="K197" s="469"/>
      <c r="L197" s="469"/>
      <c r="M197" s="469"/>
      <c r="N197" s="469"/>
      <c r="O197" s="469"/>
      <c r="P197" s="469"/>
      <c r="Q197" s="469"/>
      <c r="R197" s="469"/>
      <c r="S197" s="469"/>
      <c r="T197" s="469"/>
      <c r="U197" s="469"/>
      <c r="V197" s="469"/>
      <c r="W197" s="469"/>
      <c r="X197" s="469"/>
      <c r="Y197" s="469"/>
      <c r="Z197" s="469"/>
      <c r="AA197" s="469"/>
      <c r="AB197" s="469"/>
      <c r="AC197" s="469"/>
      <c r="AD197" s="469"/>
      <c r="AE197" s="469"/>
      <c r="AF197" s="469"/>
      <c r="AG197" s="469"/>
      <c r="AH197" s="469"/>
      <c r="AI197" s="469"/>
      <c r="AJ197" s="469"/>
      <c r="AK197" s="469"/>
      <c r="AL197" s="469"/>
      <c r="AM197" s="469"/>
      <c r="AN197" s="469"/>
      <c r="AO197" s="469"/>
      <c r="AP197" s="469"/>
      <c r="AQ197" s="469"/>
      <c r="AR197" s="469"/>
      <c r="AS197" s="469"/>
      <c r="AT197" s="469"/>
      <c r="AU197" s="469"/>
      <c r="AV197" s="469"/>
      <c r="AW197" s="469"/>
      <c r="AX197" s="469"/>
      <c r="AY197" s="469"/>
      <c r="AZ197" s="469"/>
      <c r="BA197" s="469"/>
      <c r="BB197" s="469"/>
      <c r="BC197" s="469"/>
      <c r="BD197" s="469"/>
      <c r="BE197" s="469"/>
      <c r="BF197" s="469"/>
      <c r="BG197" s="469"/>
      <c r="BH197" s="469"/>
      <c r="BI197" s="469"/>
      <c r="BJ197" s="469"/>
      <c r="BK197" s="469"/>
      <c r="BL197" s="469"/>
      <c r="BM197" s="469"/>
      <c r="BN197" s="469"/>
      <c r="BO197" s="469"/>
      <c r="BP197" s="469"/>
      <c r="BQ197" s="469"/>
      <c r="BR197" s="469"/>
      <c r="BS197" s="469"/>
      <c r="BT197" s="469"/>
      <c r="BU197" s="469"/>
      <c r="BV197" s="469"/>
      <c r="BW197" s="469"/>
      <c r="BX197" s="469"/>
      <c r="BY197" s="469"/>
      <c r="BZ197" s="469"/>
      <c r="CA197" s="469"/>
      <c r="CB197" s="469"/>
      <c r="CC197" s="469"/>
      <c r="CD197" s="469"/>
      <c r="CE197" s="469"/>
      <c r="CF197" s="469"/>
      <c r="CG197" s="469"/>
      <c r="CH197" s="469"/>
      <c r="CI197" s="469"/>
      <c r="CJ197" s="469"/>
      <c r="CK197" s="469"/>
      <c r="CL197" s="469"/>
      <c r="CM197" s="469"/>
      <c r="CN197" s="469"/>
      <c r="CO197" s="469"/>
      <c r="CP197" s="469"/>
      <c r="CQ197" s="469"/>
      <c r="CR197" s="469"/>
      <c r="CS197" s="469"/>
      <c r="CT197" s="469"/>
      <c r="CU197" s="469"/>
      <c r="CV197" s="469"/>
      <c r="CW197" s="469"/>
      <c r="CX197" s="469"/>
      <c r="CY197" s="469"/>
      <c r="CZ197" s="469"/>
      <c r="DA197" s="469"/>
      <c r="DB197" s="469"/>
      <c r="DC197" s="469"/>
      <c r="DD197" s="469"/>
      <c r="DE197" s="469"/>
      <c r="DF197" s="469"/>
      <c r="DG197" s="469"/>
      <c r="DH197" s="469"/>
      <c r="DI197" s="469"/>
      <c r="DJ197" s="469"/>
      <c r="DK197" s="469"/>
      <c r="DL197" s="469"/>
      <c r="DM197" s="469"/>
      <c r="DN197" s="469"/>
      <c r="DO197" s="469"/>
      <c r="DP197" s="469"/>
      <c r="DQ197" s="469"/>
      <c r="DR197" s="469"/>
      <c r="DS197" s="469"/>
      <c r="DT197" s="469"/>
      <c r="DU197" s="469"/>
      <c r="DV197" s="469"/>
      <c r="DW197" s="469"/>
      <c r="DX197" s="469"/>
      <c r="DY197" s="469"/>
      <c r="DZ197" s="469"/>
      <c r="EA197" s="469"/>
      <c r="EB197" s="469"/>
      <c r="EC197" s="469"/>
      <c r="ED197" s="469"/>
      <c r="EE197" s="469"/>
      <c r="EF197" s="469"/>
      <c r="EG197" s="469"/>
      <c r="EH197" s="469"/>
      <c r="EI197" s="469"/>
      <c r="EJ197" s="469"/>
      <c r="EK197" s="469"/>
      <c r="EL197" s="469"/>
      <c r="EM197" s="469"/>
      <c r="EN197" s="469"/>
      <c r="EO197" s="469"/>
      <c r="EP197" s="469"/>
      <c r="EQ197" s="469"/>
      <c r="ER197" s="469"/>
      <c r="ES197" s="469"/>
      <c r="ET197" s="469"/>
      <c r="EU197" s="469"/>
      <c r="EV197" s="469"/>
      <c r="EW197" s="469"/>
      <c r="EX197" s="469"/>
      <c r="EY197" s="469"/>
      <c r="EZ197" s="469"/>
      <c r="FA197" s="469"/>
      <c r="FB197" s="469"/>
      <c r="FC197" s="469"/>
      <c r="FD197" s="469"/>
      <c r="FE197" s="469"/>
      <c r="FF197" s="469"/>
      <c r="FG197" s="469"/>
      <c r="FH197" s="469"/>
      <c r="FI197" s="469"/>
      <c r="FJ197" s="469"/>
      <c r="FK197" s="469"/>
      <c r="FL197" s="469"/>
      <c r="FM197" s="469"/>
      <c r="FN197" s="469"/>
      <c r="FO197" s="469">
        <v>31.216606180975081</v>
      </c>
      <c r="FP197" s="469"/>
      <c r="FQ197" s="469"/>
      <c r="FR197" s="469"/>
      <c r="FS197" s="469"/>
      <c r="FT197" s="469"/>
      <c r="FU197" s="469"/>
      <c r="FV197" s="469"/>
      <c r="FW197" s="469"/>
      <c r="FX197" s="469"/>
      <c r="FY197" s="469"/>
      <c r="FZ197" s="469"/>
      <c r="GA197" s="469"/>
      <c r="GB197" s="469"/>
      <c r="GC197" s="469"/>
      <c r="GD197" s="469"/>
      <c r="GE197" s="469"/>
      <c r="GF197" s="469"/>
      <c r="GG197" s="469"/>
      <c r="GH197" s="469"/>
      <c r="GI197" s="469"/>
      <c r="GJ197" s="469"/>
      <c r="GK197" s="469"/>
      <c r="GL197" s="469">
        <v>31.216606180975081</v>
      </c>
      <c r="GM197" s="458"/>
      <c r="GN197" s="469"/>
      <c r="GO197" s="469"/>
      <c r="GP197" s="468"/>
    </row>
    <row r="198" spans="1:198" x14ac:dyDescent="0.25">
      <c r="A198" s="466" t="s">
        <v>1519</v>
      </c>
      <c r="B198" s="469"/>
      <c r="C198" s="469"/>
      <c r="D198" s="469"/>
      <c r="E198" s="469"/>
      <c r="F198" s="469"/>
      <c r="G198" s="469"/>
      <c r="H198" s="469"/>
      <c r="I198" s="469"/>
      <c r="J198" s="469"/>
      <c r="K198" s="469"/>
      <c r="L198" s="469"/>
      <c r="M198" s="469"/>
      <c r="N198" s="469"/>
      <c r="O198" s="469"/>
      <c r="P198" s="469"/>
      <c r="Q198" s="469"/>
      <c r="R198" s="469"/>
      <c r="S198" s="469"/>
      <c r="T198" s="469"/>
      <c r="U198" s="469"/>
      <c r="V198" s="469"/>
      <c r="W198" s="469"/>
      <c r="X198" s="469"/>
      <c r="Y198" s="469"/>
      <c r="Z198" s="469"/>
      <c r="AA198" s="469"/>
      <c r="AB198" s="469"/>
      <c r="AC198" s="469"/>
      <c r="AD198" s="469"/>
      <c r="AE198" s="469"/>
      <c r="AF198" s="469"/>
      <c r="AG198" s="469"/>
      <c r="AH198" s="469"/>
      <c r="AI198" s="469"/>
      <c r="AJ198" s="469"/>
      <c r="AK198" s="469"/>
      <c r="AL198" s="469"/>
      <c r="AM198" s="469"/>
      <c r="AN198" s="469"/>
      <c r="AO198" s="469"/>
      <c r="AP198" s="469"/>
      <c r="AQ198" s="469"/>
      <c r="AR198" s="469"/>
      <c r="AS198" s="469"/>
      <c r="AT198" s="469"/>
      <c r="AU198" s="469"/>
      <c r="AV198" s="469"/>
      <c r="AW198" s="469"/>
      <c r="AX198" s="469"/>
      <c r="AY198" s="469"/>
      <c r="AZ198" s="469"/>
      <c r="BA198" s="469"/>
      <c r="BB198" s="469"/>
      <c r="BC198" s="469"/>
      <c r="BD198" s="469"/>
      <c r="BE198" s="469"/>
      <c r="BF198" s="469"/>
      <c r="BG198" s="469"/>
      <c r="BH198" s="469"/>
      <c r="BI198" s="469"/>
      <c r="BJ198" s="469"/>
      <c r="BK198" s="469"/>
      <c r="BL198" s="469"/>
      <c r="BM198" s="469"/>
      <c r="BN198" s="469"/>
      <c r="BO198" s="469"/>
      <c r="BP198" s="469"/>
      <c r="BQ198" s="469"/>
      <c r="BR198" s="469"/>
      <c r="BS198" s="469"/>
      <c r="BT198" s="469"/>
      <c r="BU198" s="469"/>
      <c r="BV198" s="469"/>
      <c r="BW198" s="469"/>
      <c r="BX198" s="469"/>
      <c r="BY198" s="469"/>
      <c r="BZ198" s="469"/>
      <c r="CA198" s="469"/>
      <c r="CB198" s="469"/>
      <c r="CC198" s="469"/>
      <c r="CD198" s="469"/>
      <c r="CE198" s="469"/>
      <c r="CF198" s="469"/>
      <c r="CG198" s="469"/>
      <c r="CH198" s="469"/>
      <c r="CI198" s="469"/>
      <c r="CJ198" s="469"/>
      <c r="CK198" s="469"/>
      <c r="CL198" s="469"/>
      <c r="CM198" s="469"/>
      <c r="CN198" s="469"/>
      <c r="CO198" s="469"/>
      <c r="CP198" s="469"/>
      <c r="CQ198" s="469"/>
      <c r="CR198" s="469"/>
      <c r="CS198" s="469"/>
      <c r="CT198" s="469"/>
      <c r="CU198" s="469"/>
      <c r="CV198" s="469"/>
      <c r="CW198" s="469"/>
      <c r="CX198" s="469"/>
      <c r="CY198" s="469"/>
      <c r="CZ198" s="469"/>
      <c r="DA198" s="469"/>
      <c r="DB198" s="469"/>
      <c r="DC198" s="469"/>
      <c r="DD198" s="469"/>
      <c r="DE198" s="469"/>
      <c r="DF198" s="469"/>
      <c r="DG198" s="469"/>
      <c r="DH198" s="469"/>
      <c r="DI198" s="469"/>
      <c r="DJ198" s="469"/>
      <c r="DK198" s="469"/>
      <c r="DL198" s="469"/>
      <c r="DM198" s="469"/>
      <c r="DN198" s="469"/>
      <c r="DO198" s="469"/>
      <c r="DP198" s="469"/>
      <c r="DQ198" s="469"/>
      <c r="DR198" s="469"/>
      <c r="DS198" s="469"/>
      <c r="DT198" s="469"/>
      <c r="DU198" s="469"/>
      <c r="DV198" s="469"/>
      <c r="DW198" s="469"/>
      <c r="DX198" s="469"/>
      <c r="DY198" s="469"/>
      <c r="DZ198" s="469"/>
      <c r="EA198" s="469"/>
      <c r="EB198" s="469"/>
      <c r="EC198" s="469"/>
      <c r="ED198" s="469"/>
      <c r="EE198" s="469"/>
      <c r="EF198" s="469"/>
      <c r="EG198" s="469"/>
      <c r="EH198" s="469"/>
      <c r="EI198" s="469"/>
      <c r="EJ198" s="469"/>
      <c r="EK198" s="469"/>
      <c r="EL198" s="469"/>
      <c r="EM198" s="469"/>
      <c r="EN198" s="469"/>
      <c r="EO198" s="469"/>
      <c r="EP198" s="469"/>
      <c r="EQ198" s="469"/>
      <c r="ER198" s="469"/>
      <c r="ES198" s="469"/>
      <c r="ET198" s="469"/>
      <c r="EU198" s="469"/>
      <c r="EV198" s="469"/>
      <c r="EW198" s="469"/>
      <c r="EX198" s="469"/>
      <c r="EY198" s="469"/>
      <c r="EZ198" s="469"/>
      <c r="FA198" s="469"/>
      <c r="FB198" s="469"/>
      <c r="FC198" s="469"/>
      <c r="FD198" s="469"/>
      <c r="FE198" s="469"/>
      <c r="FF198" s="469"/>
      <c r="FG198" s="469"/>
      <c r="FH198" s="469"/>
      <c r="FI198" s="469"/>
      <c r="FJ198" s="469"/>
      <c r="FK198" s="469"/>
      <c r="FL198" s="469"/>
      <c r="FM198" s="469"/>
      <c r="FN198" s="469"/>
      <c r="FO198" s="469"/>
      <c r="FP198" s="469"/>
      <c r="FQ198" s="469"/>
      <c r="FR198" s="469"/>
      <c r="FS198" s="469"/>
      <c r="FT198" s="469"/>
      <c r="FU198" s="469"/>
      <c r="FV198" s="469"/>
      <c r="FW198" s="469"/>
      <c r="FX198" s="469"/>
      <c r="FY198" s="469"/>
      <c r="FZ198" s="469"/>
      <c r="GA198" s="469"/>
      <c r="GB198" s="469"/>
      <c r="GC198" s="469"/>
      <c r="GD198" s="469"/>
      <c r="GE198" s="469"/>
      <c r="GF198" s="469"/>
      <c r="GG198" s="469"/>
      <c r="GH198" s="469">
        <v>6.5652179457864079</v>
      </c>
      <c r="GI198" s="469"/>
      <c r="GJ198" s="469"/>
      <c r="GK198" s="469"/>
      <c r="GL198" s="469">
        <v>6.5652179457864079</v>
      </c>
      <c r="GM198" s="458"/>
      <c r="GN198" s="469"/>
      <c r="GO198" s="469"/>
      <c r="GP198" s="468"/>
    </row>
    <row r="199" spans="1:198" x14ac:dyDescent="0.25">
      <c r="A199" s="466" t="s">
        <v>1518</v>
      </c>
      <c r="B199" s="469"/>
      <c r="C199" s="469"/>
      <c r="D199" s="469"/>
      <c r="E199" s="469"/>
      <c r="F199" s="469"/>
      <c r="G199" s="469"/>
      <c r="H199" s="469"/>
      <c r="I199" s="469"/>
      <c r="J199" s="469"/>
      <c r="K199" s="469"/>
      <c r="L199" s="469"/>
      <c r="M199" s="469"/>
      <c r="N199" s="469"/>
      <c r="O199" s="469"/>
      <c r="P199" s="469"/>
      <c r="Q199" s="469"/>
      <c r="R199" s="469"/>
      <c r="S199" s="469"/>
      <c r="T199" s="469"/>
      <c r="U199" s="469"/>
      <c r="V199" s="469"/>
      <c r="W199" s="469"/>
      <c r="X199" s="469"/>
      <c r="Y199" s="469"/>
      <c r="Z199" s="469"/>
      <c r="AA199" s="469"/>
      <c r="AB199" s="469"/>
      <c r="AC199" s="469"/>
      <c r="AD199" s="469"/>
      <c r="AE199" s="469"/>
      <c r="AF199" s="469"/>
      <c r="AG199" s="469"/>
      <c r="AH199" s="469"/>
      <c r="AI199" s="469"/>
      <c r="AJ199" s="469"/>
      <c r="AK199" s="469"/>
      <c r="AL199" s="469"/>
      <c r="AM199" s="469"/>
      <c r="AN199" s="469"/>
      <c r="AO199" s="469"/>
      <c r="AP199" s="469"/>
      <c r="AQ199" s="469"/>
      <c r="AR199" s="469"/>
      <c r="AS199" s="469"/>
      <c r="AT199" s="469"/>
      <c r="AU199" s="469"/>
      <c r="AV199" s="469"/>
      <c r="AW199" s="469"/>
      <c r="AX199" s="469"/>
      <c r="AY199" s="469"/>
      <c r="AZ199" s="469"/>
      <c r="BA199" s="469"/>
      <c r="BB199" s="469"/>
      <c r="BC199" s="469"/>
      <c r="BD199" s="469"/>
      <c r="BE199" s="469"/>
      <c r="BF199" s="469"/>
      <c r="BG199" s="469"/>
      <c r="BH199" s="469"/>
      <c r="BI199" s="469"/>
      <c r="BJ199" s="469"/>
      <c r="BK199" s="469"/>
      <c r="BL199" s="469"/>
      <c r="BM199" s="469"/>
      <c r="BN199" s="469"/>
      <c r="BO199" s="469"/>
      <c r="BP199" s="469"/>
      <c r="BQ199" s="469"/>
      <c r="BR199" s="469"/>
      <c r="BS199" s="469"/>
      <c r="BT199" s="469"/>
      <c r="BU199" s="469"/>
      <c r="BV199" s="469"/>
      <c r="BW199" s="469"/>
      <c r="BX199" s="469"/>
      <c r="BY199" s="469"/>
      <c r="BZ199" s="469"/>
      <c r="CA199" s="469">
        <v>7.364829093442383</v>
      </c>
      <c r="CB199" s="469">
        <v>0.42107255790835091</v>
      </c>
      <c r="CC199" s="469">
        <v>0.36520783729280987</v>
      </c>
      <c r="CD199" s="469">
        <v>0.64407155666912785</v>
      </c>
      <c r="CE199" s="469">
        <v>0.67240729722340575</v>
      </c>
      <c r="CF199" s="469">
        <v>0.11107041186552012</v>
      </c>
      <c r="CG199" s="469">
        <v>1.385125538494137</v>
      </c>
      <c r="CH199" s="469">
        <v>6.3999952558463765E-3</v>
      </c>
      <c r="CI199" s="469">
        <v>1.2057820268357262</v>
      </c>
      <c r="CJ199" s="469"/>
      <c r="CK199" s="469">
        <v>2.4524276662203794</v>
      </c>
      <c r="CL199" s="469">
        <v>1.8154792836442033</v>
      </c>
      <c r="CM199" s="469">
        <v>0.47980010122511607</v>
      </c>
      <c r="CN199" s="469">
        <v>0.23390556954143968</v>
      </c>
      <c r="CO199" s="469">
        <v>1.000000002729798E-6</v>
      </c>
      <c r="CP199" s="469"/>
      <c r="CQ199" s="469">
        <v>105.82831066257131</v>
      </c>
      <c r="CR199" s="469">
        <v>5.3759784100000001</v>
      </c>
      <c r="CS199" s="469"/>
      <c r="CT199" s="469">
        <v>1.9227857323779054</v>
      </c>
      <c r="CU199" s="469">
        <v>22.794782546131739</v>
      </c>
      <c r="CV199" s="469">
        <v>11.402836544888466</v>
      </c>
      <c r="CW199" s="469">
        <v>3.221916973054983</v>
      </c>
      <c r="CX199" s="469">
        <v>3.9565933294009996</v>
      </c>
      <c r="CY199" s="469">
        <v>13.682608006346381</v>
      </c>
      <c r="CZ199" s="469">
        <v>2.0625085467413609</v>
      </c>
      <c r="DA199" s="469">
        <v>4.4278874926008669</v>
      </c>
      <c r="DB199" s="469">
        <v>1.5015915887659022</v>
      </c>
      <c r="DC199" s="469">
        <v>1.5505556630424091</v>
      </c>
      <c r="DD199" s="469">
        <v>2.9209569458377871</v>
      </c>
      <c r="DE199" s="469">
        <v>1.858506631981145</v>
      </c>
      <c r="DF199" s="469">
        <v>2.1867797998376863</v>
      </c>
      <c r="DG199" s="469">
        <v>0.44640221160874899</v>
      </c>
      <c r="DH199" s="469">
        <v>6.0308479389861978</v>
      </c>
      <c r="DI199" s="469">
        <v>7.6905771040863513</v>
      </c>
      <c r="DJ199" s="469">
        <v>14.573353608166293</v>
      </c>
      <c r="DK199" s="469">
        <v>22.880676319285126</v>
      </c>
      <c r="DL199" s="469">
        <v>7.655236648847195</v>
      </c>
      <c r="DM199" s="469">
        <v>17.023188136519348</v>
      </c>
      <c r="DN199" s="469">
        <v>1.6204446178352327</v>
      </c>
      <c r="DO199" s="469">
        <v>18.457807961240654</v>
      </c>
      <c r="DP199" s="469">
        <v>4.3547666206617786</v>
      </c>
      <c r="DQ199" s="469">
        <v>2.6767075031282914</v>
      </c>
      <c r="DR199" s="469">
        <v>73.217592987988468</v>
      </c>
      <c r="DS199" s="469">
        <v>1E-3</v>
      </c>
      <c r="DT199" s="469">
        <v>1E-3</v>
      </c>
      <c r="DU199" s="469">
        <v>1E-3</v>
      </c>
      <c r="DV199" s="469">
        <v>9.9999999999999995E-7</v>
      </c>
      <c r="DW199" s="469">
        <v>5.3230194916327882</v>
      </c>
      <c r="DX199" s="469">
        <v>47.907175424695083</v>
      </c>
      <c r="DY199" s="469">
        <v>92.427012483990026</v>
      </c>
      <c r="DZ199" s="469">
        <v>17.640314302268902</v>
      </c>
      <c r="EA199" s="469">
        <v>18.450916115211609</v>
      </c>
      <c r="EB199" s="469">
        <v>22.137543704772764</v>
      </c>
      <c r="EC199" s="469">
        <v>18.501421006767107</v>
      </c>
      <c r="ED199" s="469">
        <v>22.720678235198434</v>
      </c>
      <c r="EE199" s="469">
        <v>34.564666653297472</v>
      </c>
      <c r="EF199" s="469">
        <v>147.18740080443561</v>
      </c>
      <c r="EG199" s="469"/>
      <c r="EH199" s="469"/>
      <c r="EI199" s="469">
        <v>68.377442844311631</v>
      </c>
      <c r="EJ199" s="469">
        <v>101.59611917057062</v>
      </c>
      <c r="EK199" s="469">
        <v>214.29690965437479</v>
      </c>
      <c r="EL199" s="469">
        <v>18.10678290550943</v>
      </c>
      <c r="EM199" s="469">
        <v>8.7014146499964884</v>
      </c>
      <c r="EN199" s="469">
        <v>20.549280326710385</v>
      </c>
      <c r="EO199" s="469"/>
      <c r="EP199" s="469">
        <v>0.64003344144020791</v>
      </c>
      <c r="EQ199" s="469">
        <v>1.3941046710875717</v>
      </c>
      <c r="ER199" s="469">
        <v>1.1024762284577856</v>
      </c>
      <c r="ES199" s="469">
        <v>31.417289589210174</v>
      </c>
      <c r="ET199" s="469">
        <v>24.603357773625131</v>
      </c>
      <c r="EU199" s="469">
        <v>0.86079831185579458</v>
      </c>
      <c r="EV199" s="469">
        <v>4.7717291829981061</v>
      </c>
      <c r="EW199" s="469">
        <v>2.2473434267951542</v>
      </c>
      <c r="EX199" s="469"/>
      <c r="EY199" s="469">
        <v>1.7104490637398626</v>
      </c>
      <c r="EZ199" s="469">
        <v>1.8919474340300797</v>
      </c>
      <c r="FA199" s="469">
        <v>12.773171853836921</v>
      </c>
      <c r="FB199" s="469">
        <v>100.15847487096148</v>
      </c>
      <c r="FC199" s="469">
        <v>0.87763738888386444</v>
      </c>
      <c r="FD199" s="469">
        <v>48.462882353823339</v>
      </c>
      <c r="FE199" s="469">
        <v>6.5380430693427503</v>
      </c>
      <c r="FF199" s="469"/>
      <c r="FG199" s="469">
        <v>1.137846736959963</v>
      </c>
      <c r="FH199" s="469">
        <v>2.5155534413218104</v>
      </c>
      <c r="FI199" s="469">
        <v>4.25463495574669</v>
      </c>
      <c r="FJ199" s="469">
        <v>7.2802118604283619</v>
      </c>
      <c r="FK199" s="469">
        <v>201.91979598014663</v>
      </c>
      <c r="FL199" s="469"/>
      <c r="FM199" s="469"/>
      <c r="FN199" s="469"/>
      <c r="FO199" s="469">
        <v>32.416327613782691</v>
      </c>
      <c r="FP199" s="469">
        <v>2.1378675719607824E-3</v>
      </c>
      <c r="FQ199" s="469">
        <v>8.5690454467807695E-3</v>
      </c>
      <c r="FR199" s="469">
        <v>1.9967181639906677E-2</v>
      </c>
      <c r="FS199" s="469">
        <v>4.4158373379039315E-2</v>
      </c>
      <c r="FT199" s="469">
        <v>0.11174982792874519</v>
      </c>
      <c r="FU199" s="469">
        <v>0.21539183325849826</v>
      </c>
      <c r="FV199" s="469">
        <v>0.37522806831280026</v>
      </c>
      <c r="FW199" s="469">
        <v>1.1312992342043047</v>
      </c>
      <c r="FX199" s="469">
        <v>2.4060747670681</v>
      </c>
      <c r="FY199" s="469">
        <v>8.208304538736547</v>
      </c>
      <c r="FZ199" s="469">
        <v>49.280179348948401</v>
      </c>
      <c r="GA199" s="469"/>
      <c r="GB199" s="469"/>
      <c r="GC199" s="469"/>
      <c r="GD199" s="469"/>
      <c r="GE199" s="469"/>
      <c r="GF199" s="469"/>
      <c r="GG199" s="469"/>
      <c r="GH199" s="469"/>
      <c r="GI199" s="469"/>
      <c r="GJ199" s="469"/>
      <c r="GK199" s="469"/>
      <c r="GL199" s="469">
        <v>1787.7480485762633</v>
      </c>
      <c r="GM199" s="458"/>
      <c r="GN199" s="469"/>
      <c r="GO199" s="469"/>
      <c r="GP199" s="468"/>
    </row>
    <row r="200" spans="1:198" x14ac:dyDescent="0.25">
      <c r="A200" s="466" t="s">
        <v>1517</v>
      </c>
      <c r="B200" s="469">
        <v>7.369376931569148</v>
      </c>
      <c r="C200" s="469">
        <v>28.04045870025147</v>
      </c>
      <c r="D200" s="469">
        <v>1.7014123176392757</v>
      </c>
      <c r="E200" s="469">
        <v>16.89499653726844</v>
      </c>
      <c r="F200" s="469">
        <v>38.392675209884487</v>
      </c>
      <c r="G200" s="469">
        <v>14.12594027254827</v>
      </c>
      <c r="H200" s="469">
        <v>11.725351132869278</v>
      </c>
      <c r="I200" s="469">
        <v>9.1927488958814791</v>
      </c>
      <c r="J200" s="469">
        <v>1.5010727062374105</v>
      </c>
      <c r="K200" s="469">
        <v>10.703400376174647</v>
      </c>
      <c r="L200" s="469">
        <v>10.263280219314343</v>
      </c>
      <c r="M200" s="469">
        <v>66.374880504092616</v>
      </c>
      <c r="N200" s="469">
        <v>18.865178447470072</v>
      </c>
      <c r="O200" s="469">
        <v>9.7303372121724259</v>
      </c>
      <c r="P200" s="469">
        <v>170.165563781419</v>
      </c>
      <c r="Q200" s="469">
        <v>102.65607725782809</v>
      </c>
      <c r="R200" s="469">
        <v>1.8979170000000001</v>
      </c>
      <c r="S200" s="469">
        <v>193.30561987740955</v>
      </c>
      <c r="T200" s="469">
        <v>148.29005560928289</v>
      </c>
      <c r="U200" s="469">
        <v>114.66196788585876</v>
      </c>
      <c r="V200" s="469">
        <v>60.640683595966685</v>
      </c>
      <c r="W200" s="469">
        <v>23.745827500277038</v>
      </c>
      <c r="X200" s="469">
        <v>42.074595262636002</v>
      </c>
      <c r="Y200" s="469">
        <v>9.8993945780822585</v>
      </c>
      <c r="Z200" s="469">
        <v>40.806128284504304</v>
      </c>
      <c r="AA200" s="469">
        <v>40.621721857950128</v>
      </c>
      <c r="AB200" s="469">
        <v>19.677532345341273</v>
      </c>
      <c r="AC200" s="469">
        <v>14.802643444643374</v>
      </c>
      <c r="AD200" s="469">
        <v>92.680751041661523</v>
      </c>
      <c r="AE200" s="469">
        <v>21.877541582885542</v>
      </c>
      <c r="AF200" s="469">
        <v>10.741483900107264</v>
      </c>
      <c r="AG200" s="469">
        <v>1.287257569539118</v>
      </c>
      <c r="AH200" s="469">
        <v>35.133436802982409</v>
      </c>
      <c r="AI200" s="469">
        <v>119.66970676133623</v>
      </c>
      <c r="AJ200" s="469">
        <v>44.600790478776176</v>
      </c>
      <c r="AK200" s="469">
        <v>46.496046272515656</v>
      </c>
      <c r="AL200" s="469">
        <v>13.611422236674832</v>
      </c>
      <c r="AM200" s="469">
        <v>11.506898653544694</v>
      </c>
      <c r="AN200" s="469">
        <v>65.946737518218242</v>
      </c>
      <c r="AO200" s="469">
        <v>102.40238827264035</v>
      </c>
      <c r="AP200" s="469">
        <v>64.764644953347414</v>
      </c>
      <c r="AQ200" s="469">
        <v>199.36897900094573</v>
      </c>
      <c r="AR200" s="469">
        <v>1.0000009999999995</v>
      </c>
      <c r="AS200" s="469">
        <v>15.400867670589438</v>
      </c>
      <c r="AT200" s="469">
        <v>138.60780903530491</v>
      </c>
      <c r="AU200" s="469">
        <v>184.2819852500194</v>
      </c>
      <c r="AV200" s="469">
        <v>23.560161283309188</v>
      </c>
      <c r="AW200" s="469">
        <v>53.093275819715032</v>
      </c>
      <c r="AX200" s="469">
        <v>75.37553633355931</v>
      </c>
      <c r="AY200" s="469">
        <v>202.45140092874738</v>
      </c>
      <c r="AZ200" s="469">
        <v>76.346885513507473</v>
      </c>
      <c r="BA200" s="469">
        <v>116.83014669736021</v>
      </c>
      <c r="BB200" s="469">
        <v>133.75580016073906</v>
      </c>
      <c r="BC200" s="469">
        <v>1.0000000000000002</v>
      </c>
      <c r="BD200" s="469">
        <v>0.25314932364136078</v>
      </c>
      <c r="BE200" s="469">
        <v>68.401817435156516</v>
      </c>
      <c r="BF200" s="469">
        <v>53.558154182636592</v>
      </c>
      <c r="BG200" s="469">
        <v>236.35282791845398</v>
      </c>
      <c r="BH200" s="469">
        <v>25.952136624392082</v>
      </c>
      <c r="BI200" s="469">
        <v>28.229935042000282</v>
      </c>
      <c r="BJ200" s="469">
        <v>72.190122959888953</v>
      </c>
      <c r="BK200" s="469">
        <v>242.28570685152852</v>
      </c>
      <c r="BL200" s="469">
        <v>86.703458928823807</v>
      </c>
      <c r="BM200" s="469">
        <v>553.23303590510807</v>
      </c>
      <c r="BN200" s="469">
        <v>1042.3370839767765</v>
      </c>
      <c r="BO200" s="469">
        <v>117.76535246564109</v>
      </c>
      <c r="BP200" s="469">
        <v>128.32633577581387</v>
      </c>
      <c r="BQ200" s="469">
        <v>631.19066796521372</v>
      </c>
      <c r="BR200" s="469">
        <v>35.44699376492251</v>
      </c>
      <c r="BS200" s="469">
        <v>30.406241937391862</v>
      </c>
      <c r="BT200" s="469">
        <v>117.3063430158074</v>
      </c>
      <c r="BU200" s="469">
        <v>112.10386008544704</v>
      </c>
      <c r="BV200" s="469">
        <v>245.84966848163222</v>
      </c>
      <c r="BW200" s="469">
        <v>829.70771140406293</v>
      </c>
      <c r="BX200" s="469">
        <v>1411.855520333017</v>
      </c>
      <c r="BY200" s="469">
        <v>1203.1253695904045</v>
      </c>
      <c r="BZ200" s="469">
        <v>838.60829153311602</v>
      </c>
      <c r="CA200" s="469">
        <v>15.707537162725798</v>
      </c>
      <c r="CB200" s="469">
        <v>31.474318474189349</v>
      </c>
      <c r="CC200" s="469">
        <v>2.2633780877495795</v>
      </c>
      <c r="CD200" s="469">
        <v>19.342465773587396</v>
      </c>
      <c r="CE200" s="469">
        <v>42.913636652007121</v>
      </c>
      <c r="CF200" s="469">
        <v>15.669929519206725</v>
      </c>
      <c r="CG200" s="469">
        <v>15.476375825590527</v>
      </c>
      <c r="CH200" s="469">
        <v>10.194940674491917</v>
      </c>
      <c r="CI200" s="469">
        <v>2.8901578432230952</v>
      </c>
      <c r="CJ200" s="469">
        <v>12.553712112107595</v>
      </c>
      <c r="CK200" s="469">
        <v>14.508063310908319</v>
      </c>
      <c r="CL200" s="469">
        <v>84.111429530045029</v>
      </c>
      <c r="CM200" s="469">
        <v>22.220187189415562</v>
      </c>
      <c r="CN200" s="469">
        <v>12.797950218976299</v>
      </c>
      <c r="CO200" s="469">
        <v>63.499940034463656</v>
      </c>
      <c r="CP200" s="469">
        <v>86.999562064561374</v>
      </c>
      <c r="CQ200" s="469">
        <v>105.82831066257131</v>
      </c>
      <c r="CR200" s="469">
        <v>7.2738954099999997</v>
      </c>
      <c r="CS200" s="469">
        <v>193.47117363010699</v>
      </c>
      <c r="CT200" s="469">
        <v>220.03567286763951</v>
      </c>
      <c r="CU200" s="469">
        <v>209.63592878428884</v>
      </c>
      <c r="CV200" s="469">
        <v>94.416339044411188</v>
      </c>
      <c r="CW200" s="469">
        <v>33.936525322026426</v>
      </c>
      <c r="CX200" s="469">
        <v>56.864555466499645</v>
      </c>
      <c r="CY200" s="469">
        <v>38.071357173815521</v>
      </c>
      <c r="CZ200" s="469">
        <v>68.275178260712877</v>
      </c>
      <c r="DA200" s="469">
        <v>62.037077033983998</v>
      </c>
      <c r="DB200" s="469">
        <v>25.414297181642084</v>
      </c>
      <c r="DC200" s="469">
        <v>34.664841330903585</v>
      </c>
      <c r="DD200" s="469">
        <v>115.59409452573082</v>
      </c>
      <c r="DE200" s="469">
        <v>35.807616874183907</v>
      </c>
      <c r="DF200" s="469">
        <v>17.676814086839414</v>
      </c>
      <c r="DG200" s="469">
        <v>2.5751175620705831</v>
      </c>
      <c r="DH200" s="469">
        <v>64.199892963550184</v>
      </c>
      <c r="DI200" s="469">
        <v>289.42098097755235</v>
      </c>
      <c r="DJ200" s="469">
        <v>84.229029620403708</v>
      </c>
      <c r="DK200" s="469">
        <v>95.330620571938354</v>
      </c>
      <c r="DL200" s="469">
        <v>26.070850693060059</v>
      </c>
      <c r="DM200" s="469">
        <v>39.34129249299113</v>
      </c>
      <c r="DN200" s="469">
        <v>82.169719211946216</v>
      </c>
      <c r="DO200" s="469">
        <v>161.8851626091415</v>
      </c>
      <c r="DP200" s="469">
        <v>98.644819966250068</v>
      </c>
      <c r="DQ200" s="469">
        <v>182.42367007710652</v>
      </c>
      <c r="DR200" s="469">
        <v>213.56999500905599</v>
      </c>
      <c r="DS200" s="469">
        <v>10.1758980195811</v>
      </c>
      <c r="DT200" s="469">
        <v>28.686563892601434</v>
      </c>
      <c r="DU200" s="469">
        <v>17.129460236562863</v>
      </c>
      <c r="DV200" s="469">
        <v>1.0000019999999998</v>
      </c>
      <c r="DW200" s="469">
        <v>25.159038429568032</v>
      </c>
      <c r="DX200" s="469">
        <v>226.43134586611228</v>
      </c>
      <c r="DY200" s="469">
        <v>364.44095041059677</v>
      </c>
      <c r="DZ200" s="469">
        <v>54.541725636219837</v>
      </c>
      <c r="EA200" s="469">
        <v>110.7661694135402</v>
      </c>
      <c r="EB200" s="469">
        <v>139.31494006541465</v>
      </c>
      <c r="EC200" s="469">
        <v>291.90893436252128</v>
      </c>
      <c r="ED200" s="469">
        <v>133.8477082065836</v>
      </c>
      <c r="EE200" s="469">
        <v>195.03571769103863</v>
      </c>
      <c r="EF200" s="469">
        <v>321.00125594960605</v>
      </c>
      <c r="EG200" s="469">
        <v>1</v>
      </c>
      <c r="EH200" s="469">
        <v>0.25314932364136078</v>
      </c>
      <c r="EI200" s="469">
        <v>174.99607353692809</v>
      </c>
      <c r="EJ200" s="469">
        <v>182.47766796747516</v>
      </c>
      <c r="EK200" s="469">
        <v>603.98396606628694</v>
      </c>
      <c r="EL200" s="469">
        <v>48.473275098728251</v>
      </c>
      <c r="EM200" s="469">
        <v>50.129282344907942</v>
      </c>
      <c r="EN200" s="469">
        <v>113.18020966750869</v>
      </c>
      <c r="EO200" s="469">
        <v>250.53205954476857</v>
      </c>
      <c r="EP200" s="469">
        <v>91.443574253858429</v>
      </c>
      <c r="EQ200" s="469">
        <v>558.30204636874555</v>
      </c>
      <c r="ER200" s="469">
        <v>1044.772068652841</v>
      </c>
      <c r="ES200" s="469">
        <v>159.16825245283414</v>
      </c>
      <c r="ET200" s="469">
        <v>145.71597440795489</v>
      </c>
      <c r="EU200" s="469">
        <v>630.90209050632598</v>
      </c>
      <c r="EV200" s="469">
        <v>38.391907600054928</v>
      </c>
      <c r="EW200" s="469">
        <v>31.899904603909864</v>
      </c>
      <c r="EX200" s="469">
        <v>117.3063430158074</v>
      </c>
      <c r="EY200" s="469">
        <v>114.3607566127838</v>
      </c>
      <c r="EZ200" s="469">
        <v>248.01212125139375</v>
      </c>
      <c r="FA200" s="469">
        <v>872.17995354045581</v>
      </c>
      <c r="FB200" s="469">
        <v>1567.634356602942</v>
      </c>
      <c r="FC200" s="469">
        <v>1233.7999899169924</v>
      </c>
      <c r="FD200" s="469">
        <v>944.13010655074743</v>
      </c>
      <c r="FE200" s="469">
        <v>7.5185558839699285</v>
      </c>
      <c r="FF200" s="469">
        <v>1042.2281449155889</v>
      </c>
      <c r="FG200" s="469">
        <v>182.1322011020705</v>
      </c>
      <c r="FH200" s="469">
        <v>395.29169184042871</v>
      </c>
      <c r="FI200" s="469">
        <v>681.41349304807432</v>
      </c>
      <c r="FJ200" s="469">
        <v>1182.2388354446934</v>
      </c>
      <c r="FK200" s="469">
        <v>2005.2261511437489</v>
      </c>
      <c r="FL200" s="469">
        <v>100.09082882522513</v>
      </c>
      <c r="FM200" s="469">
        <v>17.027338782018347</v>
      </c>
      <c r="FN200" s="469">
        <v>2244.9993025738559</v>
      </c>
      <c r="FO200" s="469">
        <v>100.09082882522515</v>
      </c>
      <c r="FP200" s="469">
        <v>80.856216764189739</v>
      </c>
      <c r="FQ200" s="469">
        <v>111.32204923315435</v>
      </c>
      <c r="FR200" s="469">
        <v>130.70171947152005</v>
      </c>
      <c r="FS200" s="469">
        <v>161.12195890949354</v>
      </c>
      <c r="FT200" s="469">
        <v>175.09124580910299</v>
      </c>
      <c r="FU200" s="469">
        <v>244.47254147245556</v>
      </c>
      <c r="FV200" s="469">
        <v>297.87783642022538</v>
      </c>
      <c r="FW200" s="469">
        <v>433.85846538988676</v>
      </c>
      <c r="FX200" s="469">
        <v>816.58277625262383</v>
      </c>
      <c r="FY200" s="469">
        <v>1997.0796135989976</v>
      </c>
      <c r="FZ200" s="469">
        <v>2426.9930596767431</v>
      </c>
      <c r="GA200" s="469">
        <v>94.683488898730346</v>
      </c>
      <c r="GB200" s="469">
        <v>784.14526173337242</v>
      </c>
      <c r="GC200" s="469">
        <v>53.826298720980922</v>
      </c>
      <c r="GD200" s="469">
        <v>497.90817031405305</v>
      </c>
      <c r="GE200" s="469">
        <v>-1.5987211554602254E-14</v>
      </c>
      <c r="GF200" s="469">
        <v>5.3290705182007514E-15</v>
      </c>
      <c r="GG200" s="469">
        <v>-6.5225602696727947E-16</v>
      </c>
      <c r="GH200" s="469">
        <v>881.36674486868196</v>
      </c>
      <c r="GI200" s="469">
        <v>31.216606180975084</v>
      </c>
      <c r="GJ200" s="469">
        <v>6.5652179457864097</v>
      </c>
      <c r="GK200" s="469">
        <v>1787.7480485762626</v>
      </c>
      <c r="GL200" s="469"/>
      <c r="GM200" s="458"/>
      <c r="GN200" s="469"/>
      <c r="GO200" s="469"/>
      <c r="GP200" s="468"/>
    </row>
    <row r="201" spans="1:198" x14ac:dyDescent="0.25">
      <c r="A201" s="466"/>
      <c r="B201" s="457"/>
      <c r="C201" s="457"/>
      <c r="D201" s="457"/>
      <c r="E201" s="457"/>
      <c r="F201" s="457"/>
      <c r="G201" s="457"/>
      <c r="H201" s="457"/>
      <c r="I201" s="457"/>
      <c r="J201" s="457"/>
      <c r="K201" s="457"/>
      <c r="L201" s="457"/>
      <c r="M201" s="457"/>
      <c r="N201" s="457"/>
      <c r="O201" s="457"/>
      <c r="P201" s="457"/>
      <c r="Q201" s="457"/>
      <c r="R201" s="457"/>
      <c r="S201" s="457"/>
      <c r="T201" s="457"/>
      <c r="U201" s="457"/>
      <c r="V201" s="457"/>
      <c r="W201" s="457"/>
      <c r="X201" s="457"/>
      <c r="Y201" s="457"/>
      <c r="Z201" s="457"/>
      <c r="AA201" s="457"/>
      <c r="AB201" s="457"/>
      <c r="AC201" s="457"/>
      <c r="AD201" s="457"/>
      <c r="AE201" s="457"/>
      <c r="AF201" s="457"/>
      <c r="AG201" s="457"/>
      <c r="AH201" s="457"/>
      <c r="AI201" s="457"/>
      <c r="AJ201" s="457"/>
      <c r="AK201" s="457"/>
      <c r="AL201" s="457"/>
      <c r="AM201" s="457"/>
      <c r="AN201" s="457"/>
      <c r="AO201" s="457"/>
      <c r="AP201" s="457"/>
      <c r="AQ201" s="457"/>
      <c r="AR201" s="457"/>
      <c r="AS201" s="457"/>
      <c r="AT201" s="457"/>
      <c r="AU201" s="457"/>
      <c r="AV201" s="457"/>
      <c r="AW201" s="457"/>
      <c r="AX201" s="457"/>
      <c r="AY201" s="457"/>
      <c r="AZ201" s="457"/>
      <c r="BA201" s="457"/>
      <c r="BB201" s="457"/>
      <c r="BC201" s="457"/>
      <c r="BD201" s="457"/>
      <c r="BE201" s="457"/>
      <c r="BF201" s="457"/>
      <c r="BG201" s="457"/>
      <c r="BH201" s="457"/>
      <c r="BI201" s="457"/>
      <c r="BJ201" s="457"/>
      <c r="BK201" s="457"/>
      <c r="BL201" s="457"/>
      <c r="BM201" s="457"/>
      <c r="BN201" s="457"/>
      <c r="BO201" s="457"/>
      <c r="BP201" s="457"/>
      <c r="BQ201" s="457"/>
      <c r="BR201" s="457"/>
      <c r="BS201" s="457"/>
      <c r="BT201" s="457"/>
      <c r="BU201" s="457"/>
      <c r="BV201" s="457"/>
      <c r="BW201" s="457"/>
      <c r="BX201" s="457"/>
      <c r="BY201" s="457"/>
      <c r="BZ201" s="457"/>
      <c r="CA201" s="457"/>
      <c r="CB201" s="457"/>
      <c r="CC201" s="457"/>
      <c r="CD201" s="457"/>
      <c r="CE201" s="457"/>
      <c r="CF201" s="457"/>
      <c r="CG201" s="457"/>
      <c r="CH201" s="457"/>
      <c r="CI201" s="457"/>
      <c r="CJ201" s="457"/>
      <c r="CK201" s="457"/>
      <c r="CL201" s="457"/>
      <c r="CM201" s="457"/>
      <c r="CN201" s="457"/>
      <c r="CO201" s="457"/>
      <c r="CP201" s="457"/>
      <c r="CQ201" s="457"/>
      <c r="CR201" s="457"/>
      <c r="CS201" s="457"/>
      <c r="CT201" s="457"/>
      <c r="CU201" s="457"/>
      <c r="CV201" s="457"/>
      <c r="CW201" s="457"/>
      <c r="CX201" s="457"/>
      <c r="CY201" s="457"/>
      <c r="CZ201" s="457"/>
      <c r="DA201" s="457"/>
      <c r="DB201" s="457"/>
      <c r="DC201" s="457"/>
      <c r="DD201" s="457"/>
      <c r="DE201" s="457"/>
      <c r="DF201" s="457"/>
      <c r="DG201" s="457"/>
      <c r="DH201" s="457"/>
      <c r="DI201" s="457"/>
      <c r="DJ201" s="457"/>
      <c r="DK201" s="457"/>
      <c r="DL201" s="457"/>
      <c r="DM201" s="457"/>
      <c r="DN201" s="457"/>
      <c r="DO201" s="457"/>
      <c r="DP201" s="457"/>
      <c r="DQ201" s="457"/>
      <c r="DR201" s="457"/>
      <c r="DS201" s="457"/>
      <c r="DT201" s="457"/>
      <c r="DU201" s="457"/>
      <c r="DV201" s="457"/>
      <c r="DW201" s="457"/>
      <c r="DX201" s="457"/>
      <c r="DY201" s="457"/>
      <c r="DZ201" s="457"/>
      <c r="EA201" s="457"/>
      <c r="EB201" s="457"/>
      <c r="EC201" s="457"/>
      <c r="ED201" s="457"/>
      <c r="EE201" s="457"/>
      <c r="EF201" s="457"/>
      <c r="EG201" s="457"/>
      <c r="EH201" s="457"/>
      <c r="EI201" s="457"/>
      <c r="EJ201" s="457"/>
      <c r="EK201" s="457"/>
      <c r="EL201" s="457"/>
      <c r="EM201" s="457"/>
      <c r="EN201" s="457"/>
      <c r="EO201" s="457"/>
      <c r="EP201" s="457"/>
      <c r="EQ201" s="457"/>
      <c r="ER201" s="457"/>
      <c r="ES201" s="457"/>
      <c r="ET201" s="457"/>
      <c r="EU201" s="457"/>
      <c r="EV201" s="457"/>
      <c r="EW201" s="457"/>
      <c r="EX201" s="457"/>
      <c r="EY201" s="457"/>
      <c r="EZ201" s="457"/>
      <c r="FA201" s="457"/>
      <c r="FB201" s="457"/>
      <c r="FC201" s="457"/>
      <c r="FD201" s="457"/>
      <c r="FE201" s="457"/>
      <c r="FF201" s="457"/>
      <c r="FG201" s="457"/>
      <c r="FH201" s="457"/>
      <c r="FI201" s="457"/>
      <c r="FJ201" s="457"/>
      <c r="FK201" s="457"/>
      <c r="FL201" s="457"/>
      <c r="FM201" s="457"/>
      <c r="FN201" s="457"/>
      <c r="FO201" s="457"/>
      <c r="FP201" s="457"/>
      <c r="FQ201" s="457"/>
      <c r="FR201" s="457"/>
      <c r="FS201" s="457"/>
      <c r="FT201" s="457"/>
      <c r="FU201" s="457"/>
      <c r="FV201" s="457"/>
      <c r="FW201" s="457"/>
      <c r="FX201" s="457"/>
      <c r="FY201" s="457"/>
      <c r="FZ201" s="457"/>
      <c r="GA201" s="457"/>
      <c r="GB201" s="457"/>
      <c r="GC201" s="457"/>
      <c r="GD201" s="457"/>
      <c r="GE201" s="457"/>
      <c r="GF201" s="457"/>
      <c r="GG201" s="457"/>
      <c r="GH201" s="457"/>
      <c r="GI201" s="457"/>
      <c r="GJ201" s="457"/>
      <c r="GK201" s="457"/>
      <c r="GL201" s="457"/>
      <c r="GM201" s="458"/>
      <c r="GN201" s="457"/>
      <c r="GO201" s="457"/>
      <c r="GP201" s="468"/>
    </row>
    <row r="202" spans="1:198" x14ac:dyDescent="0.25">
      <c r="A202" s="457"/>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5"/>
      <c r="AP202" s="475"/>
      <c r="AQ202" s="475"/>
      <c r="AR202" s="475"/>
      <c r="AS202" s="475"/>
      <c r="AT202" s="475"/>
      <c r="AU202" s="475"/>
      <c r="AV202" s="475"/>
      <c r="AW202" s="475"/>
      <c r="AX202" s="475"/>
      <c r="AY202" s="475"/>
      <c r="AZ202" s="475"/>
      <c r="BA202" s="475"/>
      <c r="BB202" s="475"/>
      <c r="BC202" s="475"/>
      <c r="BD202" s="475"/>
      <c r="BE202" s="475"/>
      <c r="BF202" s="475"/>
      <c r="BG202" s="475"/>
      <c r="BH202" s="475"/>
      <c r="BI202" s="475"/>
      <c r="BJ202" s="475"/>
      <c r="BK202" s="475"/>
      <c r="BL202" s="475"/>
      <c r="BM202" s="475"/>
      <c r="BN202" s="475"/>
      <c r="BO202" s="475"/>
      <c r="BP202" s="475"/>
      <c r="BQ202" s="475"/>
      <c r="BR202" s="475"/>
      <c r="BS202" s="475"/>
      <c r="BT202" s="475"/>
      <c r="BU202" s="475"/>
      <c r="BV202" s="475"/>
      <c r="BW202" s="475"/>
      <c r="BX202" s="475"/>
      <c r="BY202" s="475"/>
      <c r="BZ202" s="475"/>
      <c r="CA202" s="472"/>
      <c r="CB202" s="472"/>
      <c r="CC202" s="472"/>
      <c r="CD202" s="472"/>
      <c r="CE202" s="472"/>
      <c r="CF202" s="472"/>
      <c r="CG202" s="472"/>
      <c r="CH202" s="472"/>
      <c r="CI202" s="472"/>
      <c r="CJ202" s="472"/>
      <c r="CK202" s="472"/>
      <c r="CL202" s="472"/>
      <c r="CM202" s="472"/>
      <c r="CN202" s="472"/>
      <c r="CO202" s="472"/>
      <c r="CP202" s="472"/>
      <c r="CQ202" s="472"/>
      <c r="CR202" s="472"/>
      <c r="CS202" s="472"/>
      <c r="CT202" s="472"/>
      <c r="CU202" s="472"/>
      <c r="CV202" s="472"/>
      <c r="CW202" s="472"/>
      <c r="CX202" s="472"/>
      <c r="CY202" s="472"/>
      <c r="CZ202" s="472"/>
      <c r="DA202" s="472"/>
      <c r="DB202" s="472"/>
      <c r="DC202" s="472"/>
      <c r="DD202" s="472"/>
      <c r="DE202" s="472"/>
      <c r="DF202" s="472"/>
      <c r="DG202" s="472"/>
      <c r="DH202" s="472"/>
      <c r="DI202" s="472"/>
      <c r="DJ202" s="472"/>
      <c r="DK202" s="472"/>
      <c r="DL202" s="472"/>
      <c r="DM202" s="472"/>
      <c r="DN202" s="472"/>
      <c r="DO202" s="472"/>
      <c r="DP202" s="472"/>
      <c r="DQ202" s="472"/>
      <c r="DR202" s="472"/>
      <c r="DS202" s="472"/>
      <c r="DT202" s="472"/>
      <c r="DU202" s="472"/>
      <c r="DV202" s="472"/>
      <c r="DW202" s="472"/>
      <c r="DX202" s="472"/>
      <c r="DY202" s="472"/>
      <c r="DZ202" s="472"/>
      <c r="EA202" s="472"/>
      <c r="EB202" s="472"/>
      <c r="EC202" s="472"/>
      <c r="ED202" s="472"/>
      <c r="EE202" s="472"/>
      <c r="EF202" s="472"/>
      <c r="EG202" s="472"/>
      <c r="EH202" s="472"/>
      <c r="EI202" s="472"/>
      <c r="EJ202" s="472"/>
      <c r="EK202" s="472"/>
      <c r="EL202" s="472"/>
      <c r="EM202" s="472"/>
      <c r="EN202" s="472"/>
      <c r="EO202" s="472"/>
      <c r="EP202" s="472"/>
      <c r="EQ202" s="472"/>
      <c r="ER202" s="472"/>
      <c r="ES202" s="472"/>
      <c r="ET202" s="472"/>
      <c r="EU202" s="472"/>
      <c r="EV202" s="472"/>
      <c r="EW202" s="472"/>
      <c r="EX202" s="472"/>
      <c r="EY202" s="472"/>
      <c r="EZ202" s="472"/>
      <c r="FA202" s="472"/>
      <c r="FB202" s="472"/>
      <c r="FC202" s="472"/>
      <c r="FD202" s="472"/>
      <c r="FE202" s="472"/>
      <c r="FF202" s="475"/>
      <c r="FG202" s="475"/>
      <c r="FH202" s="475"/>
      <c r="FI202" s="475"/>
      <c r="FJ202" s="475"/>
      <c r="FK202" s="475"/>
      <c r="FL202" s="475"/>
      <c r="FM202" s="475"/>
      <c r="FN202" s="475"/>
      <c r="FO202" s="475"/>
      <c r="FP202" s="475"/>
      <c r="FQ202" s="475"/>
      <c r="FR202" s="475"/>
      <c r="FS202" s="475"/>
      <c r="FT202" s="475"/>
      <c r="FU202" s="475"/>
      <c r="FV202" s="475"/>
      <c r="FW202" s="475"/>
      <c r="FX202" s="475"/>
      <c r="FY202" s="475"/>
      <c r="FZ202" s="475"/>
      <c r="GA202" s="475"/>
      <c r="GB202" s="475"/>
      <c r="GC202" s="475"/>
      <c r="GD202" s="475"/>
      <c r="GE202" s="475"/>
      <c r="GF202" s="475"/>
      <c r="GG202" s="475"/>
      <c r="GH202" s="475"/>
      <c r="GI202" s="475"/>
      <c r="GJ202" s="475"/>
      <c r="GK202" s="475"/>
      <c r="GL202" s="475"/>
      <c r="GM202" s="458"/>
      <c r="GN202" s="457"/>
      <c r="GO202" s="457"/>
      <c r="GP202" s="468"/>
    </row>
  </sheetData>
  <conditionalFormatting sqref="B8:GJ198">
    <cfRule type="cellIs" dxfId="0" priority="1" operator="lessThan">
      <formula>0</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D23B4-E63C-4A2A-84E0-226701C08FEA}">
  <sheetPr codeName="Sheet59">
    <tabColor theme="5"/>
  </sheetPr>
  <dimension ref="C4:AC42"/>
  <sheetViews>
    <sheetView workbookViewId="0"/>
  </sheetViews>
  <sheetFormatPr defaultColWidth="9.140625" defaultRowHeight="15" x14ac:dyDescent="0.25"/>
  <cols>
    <col min="1" max="16384" width="9.140625" style="256"/>
  </cols>
  <sheetData>
    <row r="4" spans="3:29" x14ac:dyDescent="0.25">
      <c r="C4" s="289" t="s">
        <v>1681</v>
      </c>
      <c r="R4" s="289" t="s">
        <v>1680</v>
      </c>
    </row>
    <row r="5" spans="3:29" x14ac:dyDescent="0.25">
      <c r="D5" s="279" t="s">
        <v>1679</v>
      </c>
      <c r="E5" s="279" t="s">
        <v>1678</v>
      </c>
      <c r="F5" s="279" t="s">
        <v>1674</v>
      </c>
      <c r="G5" s="279" t="s">
        <v>1673</v>
      </c>
      <c r="H5" s="279" t="s">
        <v>1671</v>
      </c>
      <c r="I5" s="279" t="s">
        <v>1670</v>
      </c>
      <c r="J5" s="279" t="s">
        <v>1669</v>
      </c>
      <c r="K5" s="279" t="s">
        <v>1667</v>
      </c>
      <c r="L5" s="279" t="s">
        <v>1666</v>
      </c>
      <c r="M5" s="279" t="s">
        <v>1665</v>
      </c>
      <c r="S5" s="287" t="str">
        <f t="shared" ref="S5:AB5" si="0">D5</f>
        <v>aelec-cds</v>
      </c>
      <c r="T5" s="287" t="str">
        <f t="shared" si="0"/>
        <v>aelec-clw</v>
      </c>
      <c r="U5" s="287" t="str">
        <f t="shared" si="0"/>
        <v>aelec-nuc</v>
      </c>
      <c r="V5" s="287" t="str">
        <f t="shared" si="0"/>
        <v>aelec-hyd</v>
      </c>
      <c r="W5" s="287" t="str">
        <f t="shared" si="0"/>
        <v>aelec-spv</v>
      </c>
      <c r="X5" s="287" t="str">
        <f t="shared" si="0"/>
        <v>aelec-sth</v>
      </c>
      <c r="Y5" s="287" t="str">
        <f t="shared" si="0"/>
        <v>aelec-wnd</v>
      </c>
      <c r="Z5" s="287" t="str">
        <f t="shared" si="0"/>
        <v>aelec-was</v>
      </c>
      <c r="AA5" s="287" t="str">
        <f t="shared" si="0"/>
        <v>aelec-gas</v>
      </c>
      <c r="AB5" s="287" t="str">
        <f t="shared" si="0"/>
        <v>aelec-die</v>
      </c>
      <c r="AC5" s="287"/>
    </row>
    <row r="6" spans="3:29" x14ac:dyDescent="0.25">
      <c r="C6" s="279" t="s">
        <v>1454</v>
      </c>
      <c r="D6" s="295">
        <v>5.5359136974080028E-3</v>
      </c>
      <c r="E6" s="295">
        <v>635.43715472874203</v>
      </c>
      <c r="F6" s="295">
        <v>55.737684886956472</v>
      </c>
      <c r="G6" s="295">
        <v>15.558477645602791</v>
      </c>
      <c r="H6" s="295">
        <v>1.2638151456797704</v>
      </c>
      <c r="I6" s="295">
        <v>1.895722718519655</v>
      </c>
      <c r="J6" s="295">
        <v>0.19140148178998009</v>
      </c>
      <c r="K6" s="295">
        <v>0.4472884347779556</v>
      </c>
      <c r="L6" s="295">
        <v>2.2959613772860512E-4</v>
      </c>
      <c r="M6" s="295">
        <v>3.9462523706314645E-2</v>
      </c>
      <c r="N6" s="292">
        <f>SUM(D6:M6)</f>
        <v>710.57677307561016</v>
      </c>
      <c r="O6" s="294">
        <f>N6/N$10</f>
        <v>5.4339540384218087E-2</v>
      </c>
      <c r="R6" s="287" t="s">
        <v>1454</v>
      </c>
      <c r="S6" s="287">
        <f t="shared" ref="S6:AB9" si="1">D6/D$10</f>
        <v>5.3915698604368005E-2</v>
      </c>
      <c r="T6" s="287">
        <f t="shared" si="1"/>
        <v>5.3915698604367998E-2</v>
      </c>
      <c r="U6" s="287">
        <f t="shared" si="1"/>
        <v>7.2357539706410276E-2</v>
      </c>
      <c r="V6" s="287">
        <f t="shared" si="1"/>
        <v>3.4953557996307484E-2</v>
      </c>
      <c r="W6" s="287">
        <f t="shared" si="1"/>
        <v>5.1015312965539898E-2</v>
      </c>
      <c r="X6" s="287">
        <f t="shared" si="1"/>
        <v>5.1015312965539898E-2</v>
      </c>
      <c r="Y6" s="287">
        <f t="shared" si="1"/>
        <v>5.1015312965539905E-2</v>
      </c>
      <c r="Z6" s="287">
        <f t="shared" si="1"/>
        <v>5.1446971799438732E-2</v>
      </c>
      <c r="AA6" s="287">
        <f t="shared" si="1"/>
        <v>4.2105469099502892E-2</v>
      </c>
      <c r="AB6" s="287">
        <f t="shared" si="1"/>
        <v>4.2105469099502885E-2</v>
      </c>
      <c r="AC6" s="287"/>
    </row>
    <row r="7" spans="3:29" x14ac:dyDescent="0.25">
      <c r="C7" s="279" t="s">
        <v>1453</v>
      </c>
      <c r="D7" s="295">
        <v>1.4075299877593685E-2</v>
      </c>
      <c r="E7" s="295">
        <v>1615.6264340536309</v>
      </c>
      <c r="F7" s="295">
        <v>74.466442009088539</v>
      </c>
      <c r="G7" s="295">
        <v>52.01738821347557</v>
      </c>
      <c r="H7" s="295">
        <v>2.2502564995501264</v>
      </c>
      <c r="I7" s="295">
        <v>3.3753847493251894</v>
      </c>
      <c r="J7" s="295">
        <v>0.34079543190611572</v>
      </c>
      <c r="K7" s="295">
        <v>0.83080022656110253</v>
      </c>
      <c r="L7" s="295">
        <v>4.5136028857992275E-4</v>
      </c>
      <c r="M7" s="295">
        <v>7.7578901214918256E-2</v>
      </c>
      <c r="N7" s="292">
        <f>SUM(D7:M7)</f>
        <v>1748.9996067449185</v>
      </c>
      <c r="O7" s="294">
        <f>N7/N$10</f>
        <v>0.13375026930775313</v>
      </c>
      <c r="R7" s="287" t="s">
        <v>1453</v>
      </c>
      <c r="S7" s="287">
        <f t="shared" si="1"/>
        <v>0.13708299432517485</v>
      </c>
      <c r="T7" s="287">
        <f t="shared" si="1"/>
        <v>0.13708299432517485</v>
      </c>
      <c r="U7" s="287">
        <f t="shared" si="1"/>
        <v>9.6670834918883591E-2</v>
      </c>
      <c r="V7" s="287">
        <f t="shared" si="1"/>
        <v>0.11686187023895785</v>
      </c>
      <c r="W7" s="287">
        <f t="shared" si="1"/>
        <v>9.0834122355404792E-2</v>
      </c>
      <c r="X7" s="287">
        <f t="shared" si="1"/>
        <v>9.0834122355404806E-2</v>
      </c>
      <c r="Y7" s="287">
        <f t="shared" si="1"/>
        <v>9.0834122355404806E-2</v>
      </c>
      <c r="Z7" s="287">
        <f t="shared" si="1"/>
        <v>9.5558374649401673E-2</v>
      </c>
      <c r="AA7" s="287">
        <f t="shared" si="1"/>
        <v>8.2774635808592123E-2</v>
      </c>
      <c r="AB7" s="287">
        <f t="shared" si="1"/>
        <v>8.2774635808592109E-2</v>
      </c>
      <c r="AC7" s="287"/>
    </row>
    <row r="8" spans="3:29" x14ac:dyDescent="0.25">
      <c r="C8" s="279" t="s">
        <v>1452</v>
      </c>
      <c r="D8" s="295">
        <v>2.8465107778561496E-2</v>
      </c>
      <c r="E8" s="295">
        <v>3267.3535182322425</v>
      </c>
      <c r="F8" s="295">
        <v>163.07889768279941</v>
      </c>
      <c r="G8" s="295">
        <v>146.91144616507484</v>
      </c>
      <c r="H8" s="295">
        <v>5.6729007024829494</v>
      </c>
      <c r="I8" s="295">
        <v>8.5093510537244228</v>
      </c>
      <c r="J8" s="295">
        <v>0.85914589978950884</v>
      </c>
      <c r="K8" s="295">
        <v>2.1117680117216984</v>
      </c>
      <c r="L8" s="295">
        <v>1.2713935041133194E-3</v>
      </c>
      <c r="M8" s="295">
        <v>0.21852456575481582</v>
      </c>
      <c r="N8" s="292">
        <f>SUM(D8:M8)</f>
        <v>3594.7452888148728</v>
      </c>
      <c r="O8" s="294">
        <f>N8/N$10</f>
        <v>0.27489894715676039</v>
      </c>
      <c r="R8" s="287" t="s">
        <v>1452</v>
      </c>
      <c r="S8" s="287">
        <f t="shared" si="1"/>
        <v>0.27722906382163254</v>
      </c>
      <c r="T8" s="287">
        <f t="shared" si="1"/>
        <v>0.27722906382163248</v>
      </c>
      <c r="U8" s="287">
        <f t="shared" si="1"/>
        <v>0.21170573981127383</v>
      </c>
      <c r="V8" s="287">
        <f t="shared" si="1"/>
        <v>0.33005014184685655</v>
      </c>
      <c r="W8" s="287">
        <f t="shared" si="1"/>
        <v>0.22899298663170883</v>
      </c>
      <c r="X8" s="287">
        <f t="shared" si="1"/>
        <v>0.22899298663170883</v>
      </c>
      <c r="Y8" s="287">
        <f t="shared" si="1"/>
        <v>0.22899298663170886</v>
      </c>
      <c r="Z8" s="287">
        <f t="shared" si="1"/>
        <v>0.24289487699349183</v>
      </c>
      <c r="AA8" s="287">
        <f t="shared" si="1"/>
        <v>0.23315993217634387</v>
      </c>
      <c r="AB8" s="287">
        <f t="shared" si="1"/>
        <v>0.23315993217634384</v>
      </c>
      <c r="AC8" s="287"/>
    </row>
    <row r="9" spans="3:29" x14ac:dyDescent="0.25">
      <c r="C9" s="279" t="s">
        <v>1451</v>
      </c>
      <c r="D9" s="295">
        <v>5.4600892161379734E-2</v>
      </c>
      <c r="E9" s="295">
        <v>6267.336786142987</v>
      </c>
      <c r="F9" s="295">
        <v>477.02626334210146</v>
      </c>
      <c r="G9" s="295">
        <v>230.63125493965632</v>
      </c>
      <c r="H9" s="295">
        <v>15.586278509994507</v>
      </c>
      <c r="I9" s="295">
        <v>23.379417764991757</v>
      </c>
      <c r="J9" s="295">
        <v>2.3605009107559578</v>
      </c>
      <c r="K9" s="295">
        <v>5.3043078060784286</v>
      </c>
      <c r="L9" s="295">
        <v>3.5005316699713851E-3</v>
      </c>
      <c r="M9" s="295">
        <v>0.60166436324917461</v>
      </c>
      <c r="N9" s="292">
        <f>SUM(D9:M9)</f>
        <v>7022.2845752036455</v>
      </c>
      <c r="O9" s="294">
        <f>N9/N$10</f>
        <v>0.53701124315126847</v>
      </c>
      <c r="R9" s="287" t="s">
        <v>1451</v>
      </c>
      <c r="S9" s="287">
        <f t="shared" si="1"/>
        <v>0.53177224324882466</v>
      </c>
      <c r="T9" s="287">
        <f t="shared" si="1"/>
        <v>0.53177224324882466</v>
      </c>
      <c r="U9" s="287">
        <f t="shared" si="1"/>
        <v>0.61926588556343221</v>
      </c>
      <c r="V9" s="287">
        <f t="shared" si="1"/>
        <v>0.51813442991787817</v>
      </c>
      <c r="W9" s="287">
        <f t="shared" si="1"/>
        <v>0.62915757804734651</v>
      </c>
      <c r="X9" s="287">
        <f t="shared" si="1"/>
        <v>0.62915757804734651</v>
      </c>
      <c r="Y9" s="287">
        <f t="shared" si="1"/>
        <v>0.62915757804734651</v>
      </c>
      <c r="Z9" s="287">
        <f t="shared" si="1"/>
        <v>0.61009977655766767</v>
      </c>
      <c r="AA9" s="287">
        <f t="shared" si="1"/>
        <v>0.64195996291556112</v>
      </c>
      <c r="AB9" s="287">
        <f t="shared" si="1"/>
        <v>0.64195996291556112</v>
      </c>
      <c r="AC9" s="287"/>
    </row>
    <row r="10" spans="3:29" x14ac:dyDescent="0.25">
      <c r="D10" s="293">
        <f t="shared" ref="D10:M10" si="2">SUM(D6:D9)</f>
        <v>0.10267721351494291</v>
      </c>
      <c r="E10" s="293">
        <f t="shared" si="2"/>
        <v>11785.753893157602</v>
      </c>
      <c r="F10" s="293">
        <f t="shared" si="2"/>
        <v>770.30928792094596</v>
      </c>
      <c r="G10" s="293">
        <f t="shared" si="2"/>
        <v>445.11856696380949</v>
      </c>
      <c r="H10" s="293">
        <f t="shared" si="2"/>
        <v>24.773250857707353</v>
      </c>
      <c r="I10" s="293">
        <f t="shared" si="2"/>
        <v>37.159876286561023</v>
      </c>
      <c r="J10" s="293">
        <f t="shared" si="2"/>
        <v>3.7518437242415623</v>
      </c>
      <c r="K10" s="293">
        <f t="shared" si="2"/>
        <v>8.6941644791391859</v>
      </c>
      <c r="L10" s="293">
        <f t="shared" si="2"/>
        <v>5.4528816003932322E-3</v>
      </c>
      <c r="M10" s="293">
        <f t="shared" si="2"/>
        <v>0.93723035392522336</v>
      </c>
      <c r="N10" s="293">
        <f>SUM(D10:M10)</f>
        <v>13076.606243839045</v>
      </c>
      <c r="O10" s="292"/>
      <c r="S10" s="286">
        <f t="shared" ref="S10:AB10" si="3">SUM(S6:S9)</f>
        <v>1</v>
      </c>
      <c r="T10" s="286">
        <f t="shared" si="3"/>
        <v>1</v>
      </c>
      <c r="U10" s="286">
        <f t="shared" si="3"/>
        <v>0.99999999999999989</v>
      </c>
      <c r="V10" s="286">
        <f t="shared" si="3"/>
        <v>1</v>
      </c>
      <c r="W10" s="286">
        <f t="shared" si="3"/>
        <v>1</v>
      </c>
      <c r="X10" s="286">
        <f t="shared" si="3"/>
        <v>1</v>
      </c>
      <c r="Y10" s="286">
        <f t="shared" si="3"/>
        <v>1</v>
      </c>
      <c r="Z10" s="286">
        <f t="shared" si="3"/>
        <v>0.99999999999999989</v>
      </c>
      <c r="AA10" s="286">
        <f t="shared" si="3"/>
        <v>1</v>
      </c>
      <c r="AB10" s="286">
        <f t="shared" si="3"/>
        <v>1</v>
      </c>
      <c r="AC10" s="286"/>
    </row>
    <row r="11" spans="3:29" x14ac:dyDescent="0.25">
      <c r="D11" s="291">
        <f t="shared" ref="D11:M11" si="4">D10/$N10</f>
        <v>7.8519771567885657E-6</v>
      </c>
      <c r="E11" s="291">
        <f t="shared" si="4"/>
        <v>0.90128536971971451</v>
      </c>
      <c r="F11" s="291">
        <f t="shared" si="4"/>
        <v>5.89074316039662E-2</v>
      </c>
      <c r="G11" s="291">
        <f t="shared" si="4"/>
        <v>3.4039303368450367E-2</v>
      </c>
      <c r="H11" s="291">
        <f t="shared" si="4"/>
        <v>1.8944709656130469E-3</v>
      </c>
      <c r="I11" s="291">
        <f t="shared" si="4"/>
        <v>2.8417064484195695E-3</v>
      </c>
      <c r="J11" s="291">
        <f t="shared" si="4"/>
        <v>2.8691264799758106E-4</v>
      </c>
      <c r="K11" s="291">
        <f t="shared" si="4"/>
        <v>6.6486398053282228E-4</v>
      </c>
      <c r="L11" s="291">
        <f t="shared" si="4"/>
        <v>4.1699516669031161E-7</v>
      </c>
      <c r="M11" s="291">
        <f t="shared" si="4"/>
        <v>7.1672292982500187E-5</v>
      </c>
      <c r="N11" s="290"/>
    </row>
    <row r="13" spans="3:29" x14ac:dyDescent="0.25">
      <c r="C13" s="289" t="s">
        <v>1677</v>
      </c>
      <c r="R13" s="289" t="s">
        <v>1676</v>
      </c>
    </row>
    <row r="14" spans="3:29" x14ac:dyDescent="0.25">
      <c r="D14" s="287" t="s">
        <v>1675</v>
      </c>
      <c r="E14" s="287" t="s">
        <v>1674</v>
      </c>
      <c r="F14" s="287" t="s">
        <v>1673</v>
      </c>
      <c r="G14" s="287" t="s">
        <v>1672</v>
      </c>
      <c r="H14" s="288" t="s">
        <v>1671</v>
      </c>
      <c r="I14" s="288" t="s">
        <v>1670</v>
      </c>
      <c r="J14" s="287" t="s">
        <v>1669</v>
      </c>
      <c r="K14" s="287" t="s">
        <v>1668</v>
      </c>
      <c r="L14" s="287" t="s">
        <v>1667</v>
      </c>
      <c r="M14" s="287" t="s">
        <v>1666</v>
      </c>
      <c r="N14" s="287" t="s">
        <v>1665</v>
      </c>
      <c r="Q14" s="289"/>
      <c r="S14" s="287" t="s">
        <v>1675</v>
      </c>
      <c r="T14" s="287" t="s">
        <v>1674</v>
      </c>
      <c r="U14" s="287" t="s">
        <v>1673</v>
      </c>
      <c r="V14" s="287" t="s">
        <v>1672</v>
      </c>
      <c r="W14" s="288" t="s">
        <v>1671</v>
      </c>
      <c r="X14" s="288" t="s">
        <v>1670</v>
      </c>
      <c r="Y14" s="287" t="s">
        <v>1669</v>
      </c>
      <c r="Z14" s="287" t="s">
        <v>1668</v>
      </c>
      <c r="AA14" s="287" t="s">
        <v>1667</v>
      </c>
      <c r="AB14" s="287" t="s">
        <v>1666</v>
      </c>
      <c r="AC14" s="287" t="s">
        <v>1665</v>
      </c>
    </row>
    <row r="15" spans="3:29" x14ac:dyDescent="0.25">
      <c r="C15" s="287" t="s">
        <v>1454</v>
      </c>
      <c r="D15" s="287">
        <v>2.0988946467896567E-2</v>
      </c>
      <c r="E15" s="287">
        <v>3.7342682084227585E-2</v>
      </c>
      <c r="F15" s="287">
        <v>2.01836040539209E-2</v>
      </c>
      <c r="G15" s="287">
        <v>4.502978043009815E-2</v>
      </c>
      <c r="H15" s="288">
        <f t="shared" ref="H15:I18" si="5">$M15</f>
        <v>3.4816288385118299E-3</v>
      </c>
      <c r="I15" s="288">
        <f t="shared" si="5"/>
        <v>3.4816288385118299E-3</v>
      </c>
      <c r="J15" s="287">
        <v>4.502978043009815E-2</v>
      </c>
      <c r="K15" s="287">
        <v>4.502978043009815E-2</v>
      </c>
      <c r="L15" s="287">
        <v>1.6625926023373462E-2</v>
      </c>
      <c r="M15" s="287">
        <v>3.4816288385118299E-3</v>
      </c>
      <c r="N15" s="287">
        <v>3.4816288385118299E-3</v>
      </c>
      <c r="O15" s="286">
        <f>SUM(D15:N15)</f>
        <v>0.24415701527376027</v>
      </c>
      <c r="R15" s="287" t="s">
        <v>1454</v>
      </c>
      <c r="S15" s="287">
        <f t="shared" ref="S15:AC18" si="6">D15/D$19</f>
        <v>0.11233466409606033</v>
      </c>
      <c r="T15" s="287">
        <f t="shared" si="6"/>
        <v>0.15626248332023143</v>
      </c>
      <c r="U15" s="287">
        <f t="shared" si="6"/>
        <v>7.5896135778918419E-2</v>
      </c>
      <c r="V15" s="287">
        <f t="shared" si="6"/>
        <v>0.1140843831327949</v>
      </c>
      <c r="W15" s="287">
        <f t="shared" si="6"/>
        <v>9.6342431000296311E-2</v>
      </c>
      <c r="X15" s="287">
        <f t="shared" si="6"/>
        <v>9.6342431000296311E-2</v>
      </c>
      <c r="Y15" s="287">
        <f t="shared" si="6"/>
        <v>0.1140843831327949</v>
      </c>
      <c r="Z15" s="287">
        <f t="shared" si="6"/>
        <v>0.1140843831327949</v>
      </c>
      <c r="AA15" s="287">
        <f t="shared" si="6"/>
        <v>0.11396968150544153</v>
      </c>
      <c r="AB15" s="287">
        <f t="shared" si="6"/>
        <v>9.6342431000296311E-2</v>
      </c>
      <c r="AC15" s="287">
        <f t="shared" si="6"/>
        <v>9.6342431000296311E-2</v>
      </c>
    </row>
    <row r="16" spans="3:29" x14ac:dyDescent="0.25">
      <c r="C16" s="287" t="s">
        <v>1453</v>
      </c>
      <c r="D16" s="287">
        <v>4.8860588706519568E-2</v>
      </c>
      <c r="E16" s="287">
        <v>4.5679032344061413E-2</v>
      </c>
      <c r="F16" s="287">
        <v>6.178454751168351E-2</v>
      </c>
      <c r="G16" s="287">
        <v>7.3408780345723471E-2</v>
      </c>
      <c r="H16" s="288">
        <f t="shared" si="5"/>
        <v>6.2667295071805965E-3</v>
      </c>
      <c r="I16" s="288">
        <f t="shared" si="5"/>
        <v>6.2667295071805965E-3</v>
      </c>
      <c r="J16" s="287">
        <v>7.3408780345723471E-2</v>
      </c>
      <c r="K16" s="287">
        <v>7.3408780345723471E-2</v>
      </c>
      <c r="L16" s="287">
        <v>2.8274471187730181E-2</v>
      </c>
      <c r="M16" s="287">
        <v>6.2667295071805965E-3</v>
      </c>
      <c r="N16" s="287">
        <v>6.2667295071805965E-3</v>
      </c>
      <c r="O16" s="286">
        <f>SUM(D16:N16)</f>
        <v>0.42989189881588746</v>
      </c>
      <c r="R16" s="287" t="s">
        <v>1453</v>
      </c>
      <c r="S16" s="287">
        <f t="shared" si="6"/>
        <v>0.26150611362403914</v>
      </c>
      <c r="T16" s="287">
        <f t="shared" si="6"/>
        <v>0.1911463941890518</v>
      </c>
      <c r="U16" s="287">
        <f t="shared" si="6"/>
        <v>0.23232760583582865</v>
      </c>
      <c r="V16" s="287">
        <f t="shared" si="6"/>
        <v>0.18598348342544752</v>
      </c>
      <c r="W16" s="287">
        <f t="shared" si="6"/>
        <v>0.17341077499838617</v>
      </c>
      <c r="X16" s="287">
        <f t="shared" si="6"/>
        <v>0.17341077499838617</v>
      </c>
      <c r="Y16" s="287">
        <f t="shared" si="6"/>
        <v>0.18598348342544752</v>
      </c>
      <c r="Z16" s="287">
        <f t="shared" si="6"/>
        <v>0.18598348342544752</v>
      </c>
      <c r="AA16" s="287">
        <f t="shared" si="6"/>
        <v>0.19381972898653307</v>
      </c>
      <c r="AB16" s="287">
        <f t="shared" si="6"/>
        <v>0.17341077499838617</v>
      </c>
      <c r="AC16" s="287">
        <f t="shared" si="6"/>
        <v>0.17341077499838617</v>
      </c>
    </row>
    <row r="17" spans="3:29" x14ac:dyDescent="0.25">
      <c r="C17" s="287" t="s">
        <v>1452</v>
      </c>
      <c r="D17" s="287">
        <v>4.6410555151122454E-2</v>
      </c>
      <c r="E17" s="287">
        <v>4.6984753264650264E-2</v>
      </c>
      <c r="F17" s="287">
        <v>8.1957717247555767E-2</v>
      </c>
      <c r="G17" s="287">
        <v>8.6920868566911197E-2</v>
      </c>
      <c r="H17" s="288">
        <f t="shared" si="5"/>
        <v>8.2908772076434809E-3</v>
      </c>
      <c r="I17" s="288">
        <f t="shared" si="5"/>
        <v>8.2908772076434809E-3</v>
      </c>
      <c r="J17" s="287">
        <v>8.6920868566911197E-2</v>
      </c>
      <c r="K17" s="287">
        <v>8.6920868566911197E-2</v>
      </c>
      <c r="L17" s="287">
        <v>3.3755689528048284E-2</v>
      </c>
      <c r="M17" s="287">
        <v>8.2908772076434809E-3</v>
      </c>
      <c r="N17" s="287">
        <v>8.2908772076434809E-3</v>
      </c>
      <c r="O17" s="286">
        <f>SUM(D17:N17)</f>
        <v>0.50303482972268432</v>
      </c>
      <c r="R17" s="287" t="s">
        <v>1452</v>
      </c>
      <c r="S17" s="287">
        <f t="shared" si="6"/>
        <v>0.24839332128400543</v>
      </c>
      <c r="T17" s="287">
        <f t="shared" si="6"/>
        <v>0.19661025436690902</v>
      </c>
      <c r="U17" s="287">
        <f t="shared" si="6"/>
        <v>0.3081845055884524</v>
      </c>
      <c r="V17" s="287">
        <f t="shared" si="6"/>
        <v>0.22021678935824188</v>
      </c>
      <c r="W17" s="287">
        <f t="shared" si="6"/>
        <v>0.22942229122008903</v>
      </c>
      <c r="X17" s="287">
        <f t="shared" si="6"/>
        <v>0.22942229122008903</v>
      </c>
      <c r="Y17" s="287">
        <f t="shared" si="6"/>
        <v>0.22021678935824188</v>
      </c>
      <c r="Z17" s="287">
        <f t="shared" si="6"/>
        <v>0.22021678935824188</v>
      </c>
      <c r="AA17" s="287">
        <f t="shared" si="6"/>
        <v>0.23139313738673997</v>
      </c>
      <c r="AB17" s="287">
        <f t="shared" si="6"/>
        <v>0.22942229122008903</v>
      </c>
      <c r="AC17" s="287">
        <f t="shared" si="6"/>
        <v>0.22942229122008903</v>
      </c>
    </row>
    <row r="18" spans="3:29" x14ac:dyDescent="0.25">
      <c r="C18" s="287" t="s">
        <v>1451</v>
      </c>
      <c r="D18" s="287">
        <v>7.058291701143414E-2</v>
      </c>
      <c r="E18" s="287">
        <v>0.10896760523088964</v>
      </c>
      <c r="F18" s="287">
        <v>0.10201130765541143</v>
      </c>
      <c r="G18" s="287">
        <v>0.18934648213757221</v>
      </c>
      <c r="H18" s="288">
        <f t="shared" si="5"/>
        <v>1.8098827420195682E-2</v>
      </c>
      <c r="I18" s="288">
        <f t="shared" si="5"/>
        <v>1.8098827420195682E-2</v>
      </c>
      <c r="J18" s="287">
        <v>0.18934648213757221</v>
      </c>
      <c r="K18" s="287">
        <v>0.18934648213757221</v>
      </c>
      <c r="L18" s="287">
        <v>6.7224166708600777E-2</v>
      </c>
      <c r="M18" s="287">
        <v>1.8098827420195682E-2</v>
      </c>
      <c r="N18" s="287">
        <v>1.8098827420195682E-2</v>
      </c>
      <c r="O18" s="286">
        <f>SUM(D18:N18)</f>
        <v>0.98922075269983523</v>
      </c>
      <c r="R18" s="287" t="s">
        <v>1451</v>
      </c>
      <c r="S18" s="287">
        <f t="shared" si="6"/>
        <v>0.37776590099589508</v>
      </c>
      <c r="T18" s="287">
        <f t="shared" si="6"/>
        <v>0.45598086812380773</v>
      </c>
      <c r="U18" s="287">
        <f t="shared" si="6"/>
        <v>0.38359175279680047</v>
      </c>
      <c r="V18" s="287">
        <f t="shared" si="6"/>
        <v>0.47971534408351568</v>
      </c>
      <c r="W18" s="287">
        <f t="shared" si="6"/>
        <v>0.50082450278122848</v>
      </c>
      <c r="X18" s="287">
        <f t="shared" si="6"/>
        <v>0.50082450278122848</v>
      </c>
      <c r="Y18" s="287">
        <f t="shared" si="6"/>
        <v>0.47971534408351568</v>
      </c>
      <c r="Z18" s="287">
        <f t="shared" si="6"/>
        <v>0.47971534408351568</v>
      </c>
      <c r="AA18" s="287">
        <f t="shared" si="6"/>
        <v>0.46081745212128555</v>
      </c>
      <c r="AB18" s="287">
        <f t="shared" si="6"/>
        <v>0.50082450278122848</v>
      </c>
      <c r="AC18" s="287">
        <f t="shared" si="6"/>
        <v>0.50082450278122848</v>
      </c>
    </row>
    <row r="19" spans="3:29" x14ac:dyDescent="0.25">
      <c r="D19" s="286">
        <f t="shared" ref="D19:N19" si="7">SUM(D15:D18)</f>
        <v>0.18684300733697273</v>
      </c>
      <c r="E19" s="286">
        <f t="shared" si="7"/>
        <v>0.23897407292382891</v>
      </c>
      <c r="F19" s="286">
        <f t="shared" si="7"/>
        <v>0.26593717646857162</v>
      </c>
      <c r="G19" s="286">
        <f t="shared" si="7"/>
        <v>0.39470591148030504</v>
      </c>
      <c r="H19" s="286">
        <f t="shared" si="7"/>
        <v>3.6138062973531587E-2</v>
      </c>
      <c r="I19" s="286">
        <f t="shared" si="7"/>
        <v>3.6138062973531587E-2</v>
      </c>
      <c r="J19" s="286">
        <f t="shared" si="7"/>
        <v>0.39470591148030504</v>
      </c>
      <c r="K19" s="286">
        <f t="shared" si="7"/>
        <v>0.39470591148030504</v>
      </c>
      <c r="L19" s="286">
        <f t="shared" si="7"/>
        <v>0.14588025344775268</v>
      </c>
      <c r="M19" s="286">
        <f t="shared" si="7"/>
        <v>3.6138062973531587E-2</v>
      </c>
      <c r="N19" s="286">
        <f t="shared" si="7"/>
        <v>3.6138062973531587E-2</v>
      </c>
      <c r="S19" s="286">
        <f t="shared" ref="S19:AC19" si="8">SUM(S15:S18)</f>
        <v>1</v>
      </c>
      <c r="T19" s="286">
        <f t="shared" si="8"/>
        <v>1</v>
      </c>
      <c r="U19" s="286">
        <f t="shared" si="8"/>
        <v>1</v>
      </c>
      <c r="V19" s="286">
        <f t="shared" si="8"/>
        <v>1</v>
      </c>
      <c r="W19" s="286">
        <f t="shared" si="8"/>
        <v>1</v>
      </c>
      <c r="X19" s="286">
        <f t="shared" si="8"/>
        <v>1</v>
      </c>
      <c r="Y19" s="286">
        <f t="shared" si="8"/>
        <v>1</v>
      </c>
      <c r="Z19" s="286">
        <f t="shared" si="8"/>
        <v>1</v>
      </c>
      <c r="AA19" s="286">
        <f t="shared" si="8"/>
        <v>1</v>
      </c>
      <c r="AB19" s="286">
        <f t="shared" si="8"/>
        <v>1</v>
      </c>
      <c r="AC19" s="286">
        <f t="shared" si="8"/>
        <v>1</v>
      </c>
    </row>
    <row r="24" spans="3:29" x14ac:dyDescent="0.25">
      <c r="C24" s="256" t="s">
        <v>1664</v>
      </c>
    </row>
    <row r="26" spans="3:29" x14ac:dyDescent="0.25">
      <c r="C26" s="256" t="s">
        <v>1663</v>
      </c>
      <c r="I26" s="256" t="s">
        <v>1662</v>
      </c>
      <c r="M26" s="256" t="s">
        <v>1661</v>
      </c>
      <c r="Q26" s="256" t="s">
        <v>1660</v>
      </c>
      <c r="S26" s="256" t="s">
        <v>1659</v>
      </c>
      <c r="U26" s="256" t="s">
        <v>1658</v>
      </c>
    </row>
    <row r="27" spans="3:29" x14ac:dyDescent="0.25">
      <c r="F27" s="256">
        <v>2012</v>
      </c>
      <c r="G27" s="256" t="s">
        <v>1405</v>
      </c>
      <c r="J27" s="256">
        <v>2012</v>
      </c>
      <c r="N27" s="256">
        <v>2012</v>
      </c>
      <c r="V27" s="256" t="s">
        <v>1617</v>
      </c>
    </row>
    <row r="28" spans="3:29" x14ac:dyDescent="0.25">
      <c r="C28" s="256" t="s">
        <v>1454</v>
      </c>
      <c r="D28" s="256" t="s">
        <v>1450</v>
      </c>
      <c r="E28" s="256" t="s">
        <v>1449</v>
      </c>
      <c r="F28" s="256">
        <v>3.7305999999999999</v>
      </c>
      <c r="G28" s="256">
        <f>F28/$F$32</f>
        <v>5.1587548519758449E-2</v>
      </c>
      <c r="I28" s="256" t="s">
        <v>1454</v>
      </c>
      <c r="J28" s="256">
        <v>3.9E-2</v>
      </c>
      <c r="M28" s="256" t="s">
        <v>1454</v>
      </c>
      <c r="N28" s="256">
        <v>2.8210000000000002</v>
      </c>
      <c r="Q28" s="256">
        <f>J28*N28</f>
        <v>0.11001900000000001</v>
      </c>
      <c r="S28" s="285">
        <f>F28*J28*N28</f>
        <v>0.41043688140000001</v>
      </c>
      <c r="U28" s="256" t="s">
        <v>1454</v>
      </c>
      <c r="V28" s="256">
        <v>0.41</v>
      </c>
    </row>
    <row r="29" spans="3:29" x14ac:dyDescent="0.25">
      <c r="C29" s="256" t="s">
        <v>1453</v>
      </c>
      <c r="D29" s="256" t="s">
        <v>1450</v>
      </c>
      <c r="E29" s="256" t="s">
        <v>1449</v>
      </c>
      <c r="F29" s="256">
        <v>4.2457000000000003</v>
      </c>
      <c r="G29" s="256">
        <f>F29/$F$32</f>
        <v>5.8710463397399472E-2</v>
      </c>
      <c r="I29" s="256" t="s">
        <v>1453</v>
      </c>
      <c r="J29" s="256">
        <v>0.05</v>
      </c>
      <c r="M29" s="256" t="s">
        <v>1453</v>
      </c>
      <c r="N29" s="256">
        <v>2.2549999999999999</v>
      </c>
      <c r="Q29" s="256">
        <f>J29*N29</f>
        <v>0.11275</v>
      </c>
      <c r="S29" s="285">
        <f>F29*J29*N29</f>
        <v>0.47870267500000002</v>
      </c>
      <c r="U29" s="256" t="s">
        <v>1453</v>
      </c>
      <c r="V29" s="256">
        <v>0.48299999999999998</v>
      </c>
    </row>
    <row r="30" spans="3:29" x14ac:dyDescent="0.25">
      <c r="C30" s="256" t="s">
        <v>1452</v>
      </c>
      <c r="D30" s="256" t="s">
        <v>1450</v>
      </c>
      <c r="E30" s="256" t="s">
        <v>1449</v>
      </c>
      <c r="F30" s="256">
        <v>14.047700000000001</v>
      </c>
      <c r="G30" s="256">
        <f>F30/$F$32</f>
        <v>0.19425465215810078</v>
      </c>
      <c r="I30" s="256" t="s">
        <v>1452</v>
      </c>
      <c r="J30" s="256">
        <v>8.8999999999999996E-2</v>
      </c>
      <c r="M30" s="256" t="s">
        <v>1452</v>
      </c>
      <c r="N30" s="256">
        <v>1.946</v>
      </c>
      <c r="Q30" s="256">
        <f>J30*N30</f>
        <v>0.17319399999999999</v>
      </c>
      <c r="S30" s="285">
        <f>F30*J30*N30</f>
        <v>2.4329773538000001</v>
      </c>
      <c r="U30" s="256" t="s">
        <v>1452</v>
      </c>
      <c r="V30" s="256">
        <v>2.444</v>
      </c>
    </row>
    <row r="31" spans="3:29" x14ac:dyDescent="0.25">
      <c r="C31" s="256" t="s">
        <v>1451</v>
      </c>
      <c r="D31" s="256" t="s">
        <v>1450</v>
      </c>
      <c r="E31" s="256" t="s">
        <v>1449</v>
      </c>
      <c r="F31" s="256">
        <v>50.291899999999998</v>
      </c>
      <c r="G31" s="256">
        <f>F31/$F$32</f>
        <v>0.69544733592474128</v>
      </c>
      <c r="I31" s="256" t="s">
        <v>1451</v>
      </c>
      <c r="J31" s="256">
        <v>0.17699999999999999</v>
      </c>
      <c r="M31" s="256" t="s">
        <v>1451</v>
      </c>
      <c r="N31" s="256">
        <v>2.2360000000000002</v>
      </c>
      <c r="Q31" s="256">
        <f>J31*N31</f>
        <v>0.39577200000000001</v>
      </c>
      <c r="S31" s="285">
        <f>F31*J31*N31</f>
        <v>19.9041258468</v>
      </c>
      <c r="U31" s="256" t="s">
        <v>1451</v>
      </c>
      <c r="V31" s="256">
        <v>19.861000000000001</v>
      </c>
    </row>
    <row r="32" spans="3:29" x14ac:dyDescent="0.25">
      <c r="F32" s="256">
        <f>SUM(F28:F31)</f>
        <v>72.315899999999999</v>
      </c>
      <c r="V32" s="256">
        <f>SUM(V28:V31)</f>
        <v>23.198</v>
      </c>
    </row>
    <row r="33" spans="5:22" x14ac:dyDescent="0.25">
      <c r="U33" s="256" t="s">
        <v>1657</v>
      </c>
      <c r="V33" s="285">
        <f>V32/F32</f>
        <v>0.32078699151915419</v>
      </c>
    </row>
    <row r="35" spans="5:22" x14ac:dyDescent="0.25">
      <c r="F35" s="256">
        <v>4.2256</v>
      </c>
    </row>
    <row r="36" spans="5:22" x14ac:dyDescent="0.25">
      <c r="F36" s="256">
        <v>3.7132999999999998</v>
      </c>
    </row>
    <row r="37" spans="5:22" x14ac:dyDescent="0.25">
      <c r="F37" s="256">
        <v>13.982200000000001</v>
      </c>
    </row>
    <row r="38" spans="5:22" x14ac:dyDescent="0.25">
      <c r="F38" s="256">
        <v>50.058300000000003</v>
      </c>
    </row>
    <row r="39" spans="5:22" x14ac:dyDescent="0.25">
      <c r="F39" s="256" t="s">
        <v>1656</v>
      </c>
      <c r="K39" s="256" t="s">
        <v>1655</v>
      </c>
      <c r="N39" s="256" t="s">
        <v>1654</v>
      </c>
    </row>
    <row r="40" spans="5:22" x14ac:dyDescent="0.25">
      <c r="F40" s="256" t="s">
        <v>1454</v>
      </c>
      <c r="G40" s="256" t="s">
        <v>1453</v>
      </c>
      <c r="H40" s="256" t="s">
        <v>1452</v>
      </c>
      <c r="I40" s="256" t="s">
        <v>1451</v>
      </c>
      <c r="L40" s="256" t="s">
        <v>1617</v>
      </c>
      <c r="Q40" s="256">
        <v>2012</v>
      </c>
    </row>
    <row r="41" spans="5:22" x14ac:dyDescent="0.25">
      <c r="E41" s="256">
        <v>2012</v>
      </c>
      <c r="F41" s="256">
        <v>4.4299999999999999E-2</v>
      </c>
      <c r="G41" s="256">
        <v>5.04E-2</v>
      </c>
      <c r="H41" s="256">
        <v>0.16669999999999999</v>
      </c>
      <c r="I41" s="256">
        <v>0.59689999999999999</v>
      </c>
      <c r="K41" s="256">
        <v>2012</v>
      </c>
      <c r="L41" s="256">
        <v>0.11017</v>
      </c>
      <c r="N41" s="256" t="s">
        <v>1617</v>
      </c>
      <c r="O41" s="256" t="s">
        <v>1449</v>
      </c>
      <c r="P41" s="256">
        <v>2050</v>
      </c>
      <c r="Q41" s="256">
        <v>765</v>
      </c>
    </row>
    <row r="42" spans="5:22" x14ac:dyDescent="0.25">
      <c r="E42" s="256" t="s">
        <v>156</v>
      </c>
      <c r="F42" s="285">
        <f>F41*$L$41*$Q$41</f>
        <v>3.7336062150000005</v>
      </c>
      <c r="G42" s="285">
        <f>G41*$L$41*$Q$41</f>
        <v>4.2477145199999997</v>
      </c>
      <c r="H42" s="285">
        <f>H41*$L$41*$Q$41</f>
        <v>14.049484334999999</v>
      </c>
      <c r="I42" s="285">
        <f>I41*$L$41*$Q$41</f>
        <v>50.306761844999997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31FA4-FFD6-4BFE-A7FE-1BA9003F1149}">
  <sheetPr codeName="Sheet28">
    <tabColor theme="5"/>
  </sheetPr>
  <dimension ref="D1:AA235"/>
  <sheetViews>
    <sheetView topLeftCell="H51" workbookViewId="0">
      <selection activeCell="Q58" sqref="Q58"/>
    </sheetView>
  </sheetViews>
  <sheetFormatPr defaultColWidth="9.140625" defaultRowHeight="15" x14ac:dyDescent="0.25"/>
  <cols>
    <col min="1" max="3" width="9.140625" style="256"/>
    <col min="4" max="4" width="13.42578125" style="256" bestFit="1" customWidth="1"/>
    <col min="5" max="5" width="33.28515625" style="256" customWidth="1"/>
    <col min="6" max="6" width="9.140625" style="256"/>
    <col min="7" max="7" width="12.42578125" style="256" customWidth="1"/>
    <col min="8" max="11" width="9.140625" style="256"/>
    <col min="12" max="12" width="9.7109375" style="256" bestFit="1" customWidth="1"/>
    <col min="13" max="14" width="9.140625" style="256"/>
    <col min="15" max="15" width="14.28515625" style="256" bestFit="1" customWidth="1"/>
    <col min="16" max="16" width="13.42578125" style="256" bestFit="1" customWidth="1"/>
    <col min="17" max="18" width="9.140625" style="256"/>
    <col min="19" max="19" width="30.140625" style="256" customWidth="1"/>
    <col min="20" max="16384" width="9.140625" style="256"/>
  </cols>
  <sheetData>
    <row r="1" spans="4:23" x14ac:dyDescent="0.25">
      <c r="M1" s="256">
        <f>35*1.172</f>
        <v>41.019999999999996</v>
      </c>
    </row>
    <row r="2" spans="4:23" x14ac:dyDescent="0.25">
      <c r="D2" s="282"/>
    </row>
    <row r="3" spans="4:23" x14ac:dyDescent="0.25">
      <c r="E3" s="289"/>
      <c r="W3" s="252"/>
    </row>
    <row r="4" spans="4:23" x14ac:dyDescent="0.25">
      <c r="E4" s="289"/>
      <c r="H4" s="289" t="s">
        <v>139</v>
      </c>
      <c r="I4" s="477" t="s">
        <v>2328</v>
      </c>
      <c r="W4" s="252"/>
    </row>
    <row r="5" spans="4:23" x14ac:dyDescent="0.25">
      <c r="E5" s="289" t="s">
        <v>2546</v>
      </c>
      <c r="F5" s="256" t="s">
        <v>132</v>
      </c>
      <c r="G5" s="282">
        <f>'SAM2019'!BK174*1000</f>
        <v>100090.82882522514</v>
      </c>
      <c r="H5" s="511" t="s">
        <v>2328</v>
      </c>
      <c r="W5" s="252"/>
    </row>
    <row r="6" spans="4:23" x14ac:dyDescent="0.25">
      <c r="E6" s="289" t="s">
        <v>2547</v>
      </c>
      <c r="F6" s="256" t="s">
        <v>132</v>
      </c>
      <c r="G6" s="282">
        <f>G5*1.153</f>
        <v>115404.72563548459</v>
      </c>
      <c r="H6" s="511" t="s">
        <v>2548</v>
      </c>
      <c r="W6" s="252"/>
    </row>
    <row r="7" spans="4:23" x14ac:dyDescent="0.25">
      <c r="E7" s="289" t="s">
        <v>1706</v>
      </c>
      <c r="F7" s="256" t="s">
        <v>132</v>
      </c>
      <c r="G7" s="282">
        <f>H51*$G$6</f>
        <v>42823.243049724988</v>
      </c>
      <c r="W7" s="252"/>
    </row>
    <row r="8" spans="4:23" x14ac:dyDescent="0.25">
      <c r="E8" s="289" t="s">
        <v>1710</v>
      </c>
      <c r="F8" s="256" t="s">
        <v>132</v>
      </c>
      <c r="G8" s="282">
        <f>H52*$G$6</f>
        <v>16551.001456147482</v>
      </c>
      <c r="W8" s="252"/>
    </row>
    <row r="9" spans="4:23" x14ac:dyDescent="0.25">
      <c r="E9" s="289" t="s">
        <v>1734</v>
      </c>
      <c r="F9" s="256" t="s">
        <v>132</v>
      </c>
      <c r="G9" s="282">
        <f>H53*$G$6</f>
        <v>56030.481129612126</v>
      </c>
      <c r="W9" s="252"/>
    </row>
    <row r="10" spans="4:23" x14ac:dyDescent="0.25">
      <c r="E10" s="289" t="s">
        <v>1736</v>
      </c>
      <c r="F10" s="256" t="s">
        <v>132</v>
      </c>
      <c r="G10" s="454">
        <f>SUM(SAM!AL59:AL117)-SAM!AL79-SAM!AL62-SAM!AL65-SAM!AL67-SAM!AL103</f>
        <v>41635.018826606982</v>
      </c>
      <c r="I10" s="292">
        <f>SUM('SAM2019'!BK85:BK172)-'SAM2019'!BK99-'SAM2019'!BK102-'SAM2019'!BK105-'SAM2019'!BK128-'SAM2019'!BK129-'SAM2019'!BK130-'SAM2019'!BK157</f>
        <v>73.5114962289597</v>
      </c>
      <c r="J10" s="500" t="s">
        <v>2484</v>
      </c>
      <c r="W10" s="252"/>
    </row>
    <row r="11" spans="4:23" x14ac:dyDescent="0.25">
      <c r="E11" s="289" t="s">
        <v>2486</v>
      </c>
      <c r="F11" s="256" t="s">
        <v>132</v>
      </c>
      <c r="G11" s="454">
        <f>G10*1.649</f>
        <v>68656.146045074915</v>
      </c>
      <c r="H11" s="256" t="s">
        <v>1730</v>
      </c>
      <c r="I11" s="292">
        <f>I10*1.152*1000</f>
        <v>84685.243655761573</v>
      </c>
      <c r="J11" s="500" t="s">
        <v>2485</v>
      </c>
      <c r="W11" s="252"/>
    </row>
    <row r="12" spans="4:23" x14ac:dyDescent="0.25">
      <c r="E12" s="289" t="s">
        <v>1706</v>
      </c>
      <c r="F12" s="256" t="s">
        <v>132</v>
      </c>
      <c r="G12" s="282">
        <f>H51*$G$11</f>
        <v>25476.242959340689</v>
      </c>
      <c r="I12" s="282">
        <f>H51*$I$11</f>
        <v>31424.161808160701</v>
      </c>
      <c r="W12" s="252"/>
    </row>
    <row r="13" spans="4:23" x14ac:dyDescent="0.25">
      <c r="E13" s="289" t="s">
        <v>1735</v>
      </c>
      <c r="F13" s="256" t="s">
        <v>132</v>
      </c>
      <c r="G13" s="282">
        <f>H52*$G$11</f>
        <v>9846.4596393972242</v>
      </c>
      <c r="I13" s="282">
        <f t="shared" ref="I13:I14" si="0">H52*$I$11</f>
        <v>12145.304998062775</v>
      </c>
      <c r="W13" s="252"/>
    </row>
    <row r="14" spans="4:23" x14ac:dyDescent="0.25">
      <c r="E14" s="289" t="s">
        <v>1734</v>
      </c>
      <c r="F14" s="256" t="s">
        <v>132</v>
      </c>
      <c r="G14" s="282">
        <f>H53*$G$11</f>
        <v>33333.443446337005</v>
      </c>
      <c r="I14" s="282">
        <f t="shared" si="0"/>
        <v>41115.776849538102</v>
      </c>
    </row>
    <row r="15" spans="4:23" x14ac:dyDescent="0.25">
      <c r="E15" s="289" t="s">
        <v>1733</v>
      </c>
      <c r="F15" s="256" t="s">
        <v>132</v>
      </c>
      <c r="G15" s="282">
        <f>SAM!AL62+SAM!AL79+SAM!AL103+SAM!AL142</f>
        <v>38479.313744107218</v>
      </c>
      <c r="H15" s="256" t="s">
        <v>1732</v>
      </c>
      <c r="I15" s="292">
        <f>SUM('SAM2019'!BK99:BK105)+SUM('SAM2019'!BK128:BK130)</f>
        <v>57.226943223759037</v>
      </c>
      <c r="J15" s="282"/>
    </row>
    <row r="16" spans="4:23" x14ac:dyDescent="0.25">
      <c r="E16" s="289" t="s">
        <v>1731</v>
      </c>
      <c r="F16" s="256" t="s">
        <v>132</v>
      </c>
      <c r="G16" s="282">
        <f>G15*1.172</f>
        <v>45097.755708093653</v>
      </c>
      <c r="H16" s="256" t="s">
        <v>1730</v>
      </c>
      <c r="I16" s="292">
        <f>I15/1.22</f>
        <v>46.907330511277898</v>
      </c>
    </row>
    <row r="17" spans="5:9" x14ac:dyDescent="0.25">
      <c r="E17" s="289" t="s">
        <v>115</v>
      </c>
      <c r="F17" s="256" t="s">
        <v>132</v>
      </c>
      <c r="G17" s="282">
        <f>G16+G11+G6</f>
        <v>229158.62738865317</v>
      </c>
      <c r="H17" s="282">
        <f>G5+G10+G15</f>
        <v>180205.16139593936</v>
      </c>
    </row>
    <row r="18" spans="5:9" x14ac:dyDescent="0.25">
      <c r="E18" s="289" t="s">
        <v>43</v>
      </c>
      <c r="F18" s="256" t="s">
        <v>136</v>
      </c>
      <c r="G18" s="296">
        <v>208</v>
      </c>
      <c r="H18" s="256">
        <f>764/3.6</f>
        <v>212.22222222222223</v>
      </c>
    </row>
    <row r="19" spans="5:9" x14ac:dyDescent="0.25">
      <c r="E19" s="289" t="s">
        <v>1729</v>
      </c>
      <c r="F19" s="256" t="s">
        <v>152</v>
      </c>
      <c r="G19" s="285">
        <f>G17/G18/1000</f>
        <v>1.1017241701377556</v>
      </c>
      <c r="H19" s="285">
        <f>H17/H18/1000</f>
        <v>0.84913426835782946</v>
      </c>
      <c r="I19" s="256">
        <f>0.183*3.6</f>
        <v>0.65880000000000005</v>
      </c>
    </row>
    <row r="20" spans="5:9" x14ac:dyDescent="0.25">
      <c r="E20" s="289" t="s">
        <v>1728</v>
      </c>
      <c r="F20" s="256" t="s">
        <v>152</v>
      </c>
      <c r="G20" s="285">
        <f>G19/1.172</f>
        <v>0.94003768783084951</v>
      </c>
      <c r="H20" s="285"/>
    </row>
    <row r="21" spans="5:9" x14ac:dyDescent="0.25">
      <c r="E21" s="289" t="s">
        <v>485</v>
      </c>
      <c r="G21" s="256" t="s">
        <v>1727</v>
      </c>
      <c r="H21" s="256" t="s">
        <v>139</v>
      </c>
    </row>
    <row r="22" spans="5:9" x14ac:dyDescent="0.25">
      <c r="E22" s="289" t="s">
        <v>1438</v>
      </c>
      <c r="F22" s="256" t="s">
        <v>132</v>
      </c>
      <c r="G22" s="256">
        <v>9894</v>
      </c>
      <c r="H22" s="256" t="s">
        <v>1726</v>
      </c>
    </row>
    <row r="23" spans="5:9" x14ac:dyDescent="0.25">
      <c r="E23" s="289" t="s">
        <v>126</v>
      </c>
      <c r="F23" s="256" t="s">
        <v>132</v>
      </c>
      <c r="G23" s="256">
        <v>397</v>
      </c>
    </row>
    <row r="24" spans="5:9" x14ac:dyDescent="0.25">
      <c r="E24" s="289" t="s">
        <v>1432</v>
      </c>
      <c r="F24" s="256" t="s">
        <v>132</v>
      </c>
      <c r="G24" s="256">
        <v>8298</v>
      </c>
    </row>
    <row r="25" spans="5:9" x14ac:dyDescent="0.25">
      <c r="E25" s="289" t="s">
        <v>1725</v>
      </c>
      <c r="F25" s="256" t="s">
        <v>132</v>
      </c>
      <c r="G25" s="256">
        <v>211</v>
      </c>
    </row>
    <row r="26" spans="5:9" x14ac:dyDescent="0.25">
      <c r="E26" s="289" t="s">
        <v>1724</v>
      </c>
      <c r="F26" s="256" t="s">
        <v>132</v>
      </c>
      <c r="G26" s="256">
        <v>18801</v>
      </c>
    </row>
    <row r="27" spans="5:9" x14ac:dyDescent="0.25">
      <c r="E27" s="289" t="s">
        <v>1723</v>
      </c>
      <c r="F27" s="256" t="s">
        <v>132</v>
      </c>
      <c r="G27" s="256">
        <v>-5542</v>
      </c>
    </row>
    <row r="28" spans="5:9" x14ac:dyDescent="0.25">
      <c r="E28" s="289" t="s">
        <v>1722</v>
      </c>
      <c r="F28" s="256" t="s">
        <v>132</v>
      </c>
    </row>
    <row r="29" spans="5:9" x14ac:dyDescent="0.25">
      <c r="E29" s="289" t="s">
        <v>1721</v>
      </c>
      <c r="F29" s="256" t="s">
        <v>132</v>
      </c>
      <c r="G29" s="256">
        <v>-2815</v>
      </c>
    </row>
    <row r="30" spans="5:9" x14ac:dyDescent="0.25">
      <c r="E30" s="289" t="s">
        <v>1720</v>
      </c>
      <c r="F30" s="256" t="s">
        <v>132</v>
      </c>
      <c r="G30" s="256">
        <v>10443</v>
      </c>
    </row>
    <row r="31" spans="5:9" x14ac:dyDescent="0.25">
      <c r="E31" s="289"/>
    </row>
    <row r="32" spans="5:9" x14ac:dyDescent="0.25">
      <c r="E32" s="289"/>
    </row>
    <row r="33" spans="5:23" x14ac:dyDescent="0.25">
      <c r="E33" s="289" t="s">
        <v>1719</v>
      </c>
    </row>
    <row r="34" spans="5:23" x14ac:dyDescent="0.25">
      <c r="E34" s="289" t="s">
        <v>1718</v>
      </c>
      <c r="F34" s="256" t="s">
        <v>121</v>
      </c>
      <c r="G34" s="282">
        <v>784</v>
      </c>
      <c r="I34" s="256" t="s">
        <v>1717</v>
      </c>
    </row>
    <row r="35" spans="5:23" x14ac:dyDescent="0.25">
      <c r="E35" s="289" t="s">
        <v>485</v>
      </c>
      <c r="F35" s="256" t="s">
        <v>121</v>
      </c>
      <c r="G35" s="282">
        <v>40329</v>
      </c>
      <c r="I35" s="256" t="s">
        <v>1716</v>
      </c>
    </row>
    <row r="36" spans="5:23" x14ac:dyDescent="0.25">
      <c r="E36" s="289" t="s">
        <v>151</v>
      </c>
      <c r="F36" s="256" t="s">
        <v>121</v>
      </c>
      <c r="G36" s="282">
        <f>G35+G34</f>
        <v>41113</v>
      </c>
    </row>
    <row r="37" spans="5:23" x14ac:dyDescent="0.25">
      <c r="E37" s="289"/>
      <c r="G37" s="282"/>
    </row>
    <row r="38" spans="5:23" x14ac:dyDescent="0.25">
      <c r="E38" s="289" t="s">
        <v>1432</v>
      </c>
      <c r="G38" s="282"/>
    </row>
    <row r="39" spans="5:23" x14ac:dyDescent="0.25">
      <c r="E39" s="289" t="s">
        <v>485</v>
      </c>
      <c r="F39" s="256" t="s">
        <v>1090</v>
      </c>
      <c r="G39" s="282">
        <f>212107-92140-626</f>
        <v>119341</v>
      </c>
      <c r="I39" s="256" t="s">
        <v>1715</v>
      </c>
    </row>
    <row r="40" spans="5:23" x14ac:dyDescent="0.25">
      <c r="E40" s="289" t="s">
        <v>1714</v>
      </c>
      <c r="F40" s="256" t="s">
        <v>1090</v>
      </c>
      <c r="G40" s="282">
        <f>96537-2290</f>
        <v>94247</v>
      </c>
      <c r="I40" s="256" t="s">
        <v>1713</v>
      </c>
    </row>
    <row r="41" spans="5:23" x14ac:dyDescent="0.25">
      <c r="E41" s="289" t="s">
        <v>115</v>
      </c>
      <c r="F41" s="256" t="s">
        <v>1090</v>
      </c>
      <c r="G41" s="282">
        <f>G40+G39</f>
        <v>213588</v>
      </c>
    </row>
    <row r="42" spans="5:23" x14ac:dyDescent="0.25">
      <c r="E42" s="289"/>
      <c r="G42" s="282"/>
      <c r="W42" s="287"/>
    </row>
    <row r="43" spans="5:23" x14ac:dyDescent="0.25">
      <c r="E43" s="289"/>
      <c r="G43" s="282"/>
      <c r="W43" s="287"/>
    </row>
    <row r="44" spans="5:23" x14ac:dyDescent="0.25">
      <c r="E44" s="289" t="s">
        <v>1712</v>
      </c>
      <c r="G44" s="282"/>
    </row>
    <row r="45" spans="5:23" x14ac:dyDescent="0.25">
      <c r="E45" s="289" t="s">
        <v>1706</v>
      </c>
      <c r="G45" s="282">
        <f>G22*G36/G35</f>
        <v>10086.340400208286</v>
      </c>
      <c r="H45" s="256" t="s">
        <v>1711</v>
      </c>
    </row>
    <row r="46" spans="5:23" x14ac:dyDescent="0.25">
      <c r="E46" s="289" t="s">
        <v>1710</v>
      </c>
      <c r="G46" s="282">
        <f>G23+G25</f>
        <v>608</v>
      </c>
      <c r="H46" s="256" t="s">
        <v>1709</v>
      </c>
      <c r="W46" s="287"/>
    </row>
    <row r="47" spans="5:23" x14ac:dyDescent="0.25">
      <c r="E47" s="289" t="s">
        <v>1704</v>
      </c>
      <c r="G47" s="282">
        <f>G24*G41/G39</f>
        <v>14851.167863517148</v>
      </c>
      <c r="H47" s="256" t="s">
        <v>1708</v>
      </c>
      <c r="W47" s="287"/>
    </row>
    <row r="48" spans="5:23" x14ac:dyDescent="0.25">
      <c r="E48" s="289" t="s">
        <v>115</v>
      </c>
      <c r="G48" s="282">
        <f>SUM(G45:G47)</f>
        <v>25545.508263725435</v>
      </c>
    </row>
    <row r="49" spans="4:23" x14ac:dyDescent="0.25">
      <c r="E49" s="289" t="s">
        <v>1498</v>
      </c>
      <c r="G49" s="282">
        <f>G10-G48</f>
        <v>16089.510562881547</v>
      </c>
      <c r="W49" s="287"/>
    </row>
    <row r="50" spans="4:23" x14ac:dyDescent="0.25">
      <c r="E50" s="289" t="s">
        <v>1707</v>
      </c>
      <c r="G50" s="282"/>
      <c r="W50" s="287"/>
    </row>
    <row r="51" spans="4:23" x14ac:dyDescent="0.25">
      <c r="E51" s="289" t="s">
        <v>1706</v>
      </c>
      <c r="G51" s="282">
        <f>G$49/3+G45</f>
        <v>15449.51058783547</v>
      </c>
      <c r="H51" s="252">
        <f>G51/$G$10</f>
        <v>0.37107009972005617</v>
      </c>
      <c r="W51" s="287"/>
    </row>
    <row r="52" spans="4:23" x14ac:dyDescent="0.25">
      <c r="E52" s="289" t="s">
        <v>1705</v>
      </c>
      <c r="G52" s="282">
        <f>G$49/3+G46</f>
        <v>5971.1701876271827</v>
      </c>
      <c r="H52" s="252">
        <f>G52/$G$10</f>
        <v>0.14341701663435513</v>
      </c>
      <c r="W52" s="287"/>
    </row>
    <row r="53" spans="4:23" x14ac:dyDescent="0.25">
      <c r="E53" s="289" t="s">
        <v>1704</v>
      </c>
      <c r="G53" s="282">
        <f>G$49/3+G47</f>
        <v>20214.338051144332</v>
      </c>
      <c r="H53" s="252">
        <f>G53/$G$10</f>
        <v>0.48551288364558876</v>
      </c>
    </row>
    <row r="54" spans="4:23" x14ac:dyDescent="0.25">
      <c r="E54" s="289"/>
    </row>
    <row r="55" spans="4:23" x14ac:dyDescent="0.25">
      <c r="E55" s="289"/>
      <c r="J55" s="289" t="s">
        <v>153</v>
      </c>
      <c r="K55" s="256">
        <v>60</v>
      </c>
      <c r="L55" s="289" t="s">
        <v>1703</v>
      </c>
      <c r="M55" s="256">
        <f>M74/L73</f>
        <v>1.1982602262500881</v>
      </c>
    </row>
    <row r="56" spans="4:23" x14ac:dyDescent="0.25">
      <c r="E56" s="289" t="s">
        <v>1432</v>
      </c>
      <c r="J56" s="289" t="s">
        <v>1702</v>
      </c>
      <c r="K56" s="302">
        <v>8.2000000000000003E-2</v>
      </c>
      <c r="W56" s="287"/>
    </row>
    <row r="57" spans="4:23" s="298" customFormat="1" ht="60" x14ac:dyDescent="0.25">
      <c r="E57" s="299" t="s">
        <v>353</v>
      </c>
      <c r="F57" s="299" t="s">
        <v>1697</v>
      </c>
      <c r="G57" s="299" t="s">
        <v>2545</v>
      </c>
      <c r="H57" s="299" t="s">
        <v>1701</v>
      </c>
      <c r="I57" s="299" t="s">
        <v>156</v>
      </c>
      <c r="J57" s="301">
        <f>PMT(8.2%,60,-1,0,1)</f>
        <v>7.6461363904318166E-2</v>
      </c>
      <c r="K57" s="299" t="s">
        <v>1695</v>
      </c>
      <c r="L57" s="299" t="s">
        <v>1694</v>
      </c>
      <c r="M57" s="299" t="s">
        <v>1693</v>
      </c>
      <c r="N57" s="299" t="s">
        <v>1692</v>
      </c>
      <c r="O57" s="299" t="s">
        <v>156</v>
      </c>
      <c r="P57" s="299" t="s">
        <v>1689</v>
      </c>
      <c r="Q57" s="299" t="s">
        <v>1700</v>
      </c>
      <c r="W57" s="300"/>
    </row>
    <row r="58" spans="4:23" x14ac:dyDescent="0.25">
      <c r="D58" s="256" t="s">
        <v>203</v>
      </c>
      <c r="E58" s="282">
        <v>30869.197499999998</v>
      </c>
      <c r="F58" s="256">
        <v>0.91200000000000003</v>
      </c>
      <c r="G58" s="256">
        <v>0.91200000000000003</v>
      </c>
      <c r="H58" s="282">
        <v>2152.5410000000002</v>
      </c>
      <c r="I58" s="282">
        <f t="shared" ref="I58:I71" si="1">IF(G58=F58,H58/F58,"")</f>
        <v>2360.2423245614036</v>
      </c>
      <c r="J58" s="256">
        <f t="shared" ref="J58:J71" si="2">IF(I58&lt;&gt;"",H58/E58/G58)</f>
        <v>7.6459464958925596E-2</v>
      </c>
      <c r="K58" s="256">
        <f t="shared" ref="K58:K71" si="3">PMT($K$56,$K$55,-1,0,1)</f>
        <v>7.646136390431818E-2</v>
      </c>
      <c r="L58" s="282">
        <f t="shared" ref="L58:L71" si="4">K58*G58*E58</f>
        <v>2152.5944604553733</v>
      </c>
      <c r="M58" s="256">
        <f t="shared" ref="M58:M71" si="5">L58*$M$55</f>
        <v>2579.3683252099418</v>
      </c>
      <c r="N58" s="282">
        <f t="shared" ref="N58:N71" si="6">M58/K58/G58</f>
        <v>36989.331580508653</v>
      </c>
      <c r="O58" s="282">
        <f t="shared" ref="O58:O71" si="7">E58*$M$55</f>
        <v>36989.331580508653</v>
      </c>
      <c r="P58" s="282">
        <f t="shared" ref="P58:P71" si="8">M58/$M$73*$P$74</f>
        <v>1534.5081188356694</v>
      </c>
      <c r="Q58" s="282">
        <f t="shared" ref="Q58:Q71" si="9">P58/G58</f>
        <v>1682.5746917057777</v>
      </c>
      <c r="W58" s="287"/>
    </row>
    <row r="59" spans="4:23" x14ac:dyDescent="0.25">
      <c r="D59" s="256" t="s">
        <v>201</v>
      </c>
      <c r="E59" s="282">
        <v>15434.5988</v>
      </c>
      <c r="F59" s="256">
        <v>6.0609000000000002</v>
      </c>
      <c r="G59" s="256">
        <v>6.0609000000000002</v>
      </c>
      <c r="H59" s="282">
        <v>6933.335</v>
      </c>
      <c r="I59" s="282">
        <f t="shared" si="1"/>
        <v>1143.9447936775066</v>
      </c>
      <c r="J59" s="256">
        <f t="shared" si="2"/>
        <v>7.4115615734534457E-2</v>
      </c>
      <c r="K59" s="256">
        <f t="shared" si="3"/>
        <v>7.646136390431818E-2</v>
      </c>
      <c r="L59" s="282">
        <f t="shared" si="4"/>
        <v>7152.7740173455613</v>
      </c>
      <c r="M59" s="256">
        <f t="shared" si="5"/>
        <v>8570.8846123402436</v>
      </c>
      <c r="N59" s="282">
        <f t="shared" si="6"/>
        <v>18494.665850167337</v>
      </c>
      <c r="O59" s="282">
        <f t="shared" si="7"/>
        <v>18494.665850167337</v>
      </c>
      <c r="P59" s="282">
        <f t="shared" si="8"/>
        <v>5098.9584909977248</v>
      </c>
      <c r="Q59" s="282">
        <f t="shared" si="9"/>
        <v>841.28734857821848</v>
      </c>
      <c r="W59" s="287"/>
    </row>
    <row r="60" spans="4:23" x14ac:dyDescent="0.25">
      <c r="D60" s="256" t="s">
        <v>199</v>
      </c>
      <c r="E60" s="282">
        <v>7336.7520000000004</v>
      </c>
      <c r="F60" s="256">
        <v>1.2666999999999999</v>
      </c>
      <c r="G60" s="256">
        <v>1.2666999999999999</v>
      </c>
      <c r="H60" s="282">
        <v>710.59090000000003</v>
      </c>
      <c r="I60" s="282">
        <f t="shared" si="1"/>
        <v>560.97805320912607</v>
      </c>
      <c r="J60" s="256">
        <f t="shared" si="2"/>
        <v>7.6461362358864804E-2</v>
      </c>
      <c r="K60" s="256">
        <f t="shared" si="3"/>
        <v>7.646136390431818E-2</v>
      </c>
      <c r="L60" s="282">
        <f t="shared" si="4"/>
        <v>710.59091436261485</v>
      </c>
      <c r="M60" s="256">
        <f t="shared" si="5"/>
        <v>851.47282981540388</v>
      </c>
      <c r="N60" s="282">
        <f t="shared" si="6"/>
        <v>8791.3381114607855</v>
      </c>
      <c r="O60" s="282">
        <f t="shared" si="7"/>
        <v>8791.3381114607873</v>
      </c>
      <c r="P60" s="282">
        <f t="shared" si="8"/>
        <v>506.55501874218464</v>
      </c>
      <c r="Q60" s="282">
        <f t="shared" si="9"/>
        <v>399.90133318243045</v>
      </c>
    </row>
    <row r="61" spans="4:23" x14ac:dyDescent="0.25">
      <c r="D61" s="256" t="s">
        <v>197</v>
      </c>
      <c r="E61" s="282">
        <v>7336.7520000000004</v>
      </c>
      <c r="F61" s="256">
        <v>0</v>
      </c>
      <c r="G61" s="256">
        <v>1.7473000000000001</v>
      </c>
      <c r="H61" s="282">
        <v>980.2029</v>
      </c>
      <c r="I61" s="282" t="str">
        <f t="shared" si="1"/>
        <v/>
      </c>
      <c r="J61" s="256" t="b">
        <f t="shared" si="2"/>
        <v>0</v>
      </c>
      <c r="K61" s="256">
        <f t="shared" si="3"/>
        <v>7.646136390431818E-2</v>
      </c>
      <c r="L61" s="282">
        <f t="shared" si="4"/>
        <v>980.19697218425608</v>
      </c>
      <c r="M61" s="256">
        <f t="shared" si="5"/>
        <v>1174.5310456591581</v>
      </c>
      <c r="N61" s="282">
        <f t="shared" si="6"/>
        <v>8791.3381114607873</v>
      </c>
      <c r="O61" s="282">
        <f t="shared" si="7"/>
        <v>8791.3381114607873</v>
      </c>
      <c r="P61" s="282">
        <f t="shared" si="8"/>
        <v>698.74759946966094</v>
      </c>
      <c r="Q61" s="282">
        <f t="shared" si="9"/>
        <v>399.90133318243056</v>
      </c>
    </row>
    <row r="62" spans="4:23" x14ac:dyDescent="0.25">
      <c r="D62" s="256" t="s">
        <v>195</v>
      </c>
      <c r="E62" s="282">
        <v>11787.442499999999</v>
      </c>
      <c r="F62" s="256">
        <v>0.54330000000000001</v>
      </c>
      <c r="G62" s="256">
        <v>0.56020000000000003</v>
      </c>
      <c r="H62" s="282">
        <v>489.66750000000002</v>
      </c>
      <c r="I62" s="282" t="str">
        <f t="shared" si="1"/>
        <v/>
      </c>
      <c r="J62" s="256" t="b">
        <f t="shared" si="2"/>
        <v>0</v>
      </c>
      <c r="K62" s="256">
        <f t="shared" si="3"/>
        <v>7.646136390431818E-2</v>
      </c>
      <c r="L62" s="282">
        <f t="shared" si="4"/>
        <v>504.89925786258533</v>
      </c>
      <c r="M62" s="256">
        <f t="shared" si="5"/>
        <v>605.00069895992306</v>
      </c>
      <c r="N62" s="282">
        <f t="shared" si="6"/>
        <v>14124.423516959903</v>
      </c>
      <c r="O62" s="282">
        <f t="shared" si="7"/>
        <v>14124.423516959903</v>
      </c>
      <c r="P62" s="282">
        <f t="shared" si="8"/>
        <v>359.9247441249762</v>
      </c>
      <c r="Q62" s="282">
        <f t="shared" si="9"/>
        <v>642.49329547478794</v>
      </c>
    </row>
    <row r="63" spans="4:23" x14ac:dyDescent="0.25">
      <c r="D63" s="256" t="s">
        <v>193</v>
      </c>
      <c r="E63" s="282">
        <v>7336.7520000000004</v>
      </c>
      <c r="F63" s="256">
        <v>3.5015000000000001</v>
      </c>
      <c r="G63" s="256">
        <v>3.5015000000000001</v>
      </c>
      <c r="H63" s="282">
        <v>1964.2650000000001</v>
      </c>
      <c r="I63" s="282">
        <f t="shared" si="1"/>
        <v>560.978152220477</v>
      </c>
      <c r="J63" s="256">
        <f t="shared" si="2"/>
        <v>7.6461375854121411E-2</v>
      </c>
      <c r="K63" s="256">
        <f t="shared" si="3"/>
        <v>7.646136390431818E-2</v>
      </c>
      <c r="L63" s="282">
        <f t="shared" si="4"/>
        <v>1964.2646930138915</v>
      </c>
      <c r="M63" s="256">
        <f t="shared" si="5"/>
        <v>2353.7002554658852</v>
      </c>
      <c r="N63" s="282">
        <f t="shared" si="6"/>
        <v>8791.3381114607855</v>
      </c>
      <c r="O63" s="282">
        <f t="shared" si="7"/>
        <v>8791.3381114607873</v>
      </c>
      <c r="P63" s="282">
        <f t="shared" si="8"/>
        <v>1400.2545181382804</v>
      </c>
      <c r="Q63" s="282">
        <f t="shared" si="9"/>
        <v>399.90133318243051</v>
      </c>
    </row>
    <row r="64" spans="4:23" x14ac:dyDescent="0.25">
      <c r="D64" s="256" t="s">
        <v>191</v>
      </c>
      <c r="E64" s="282">
        <v>7336.7520000000004</v>
      </c>
      <c r="F64" s="256">
        <v>4.1947999999999999</v>
      </c>
      <c r="G64" s="256">
        <v>4.1947999999999999</v>
      </c>
      <c r="H64" s="282">
        <v>2353.1909999999998</v>
      </c>
      <c r="I64" s="282">
        <f t="shared" si="1"/>
        <v>560.97811576237245</v>
      </c>
      <c r="J64" s="256">
        <f t="shared" si="2"/>
        <v>7.6461370884878269E-2</v>
      </c>
      <c r="K64" s="256">
        <f t="shared" si="3"/>
        <v>7.646136390431818E-2</v>
      </c>
      <c r="L64" s="282">
        <f t="shared" si="4"/>
        <v>2353.1907851648357</v>
      </c>
      <c r="M64" s="256">
        <f t="shared" si="5"/>
        <v>2819.7349226412384</v>
      </c>
      <c r="N64" s="282">
        <f t="shared" si="6"/>
        <v>8791.3381114607873</v>
      </c>
      <c r="O64" s="282">
        <f t="shared" si="7"/>
        <v>8791.3381114607873</v>
      </c>
      <c r="P64" s="282">
        <f t="shared" si="8"/>
        <v>1677.5061124336594</v>
      </c>
      <c r="Q64" s="282">
        <f t="shared" si="9"/>
        <v>399.90133318243051</v>
      </c>
    </row>
    <row r="65" spans="4:18" x14ac:dyDescent="0.25">
      <c r="D65" s="256" t="s">
        <v>189</v>
      </c>
      <c r="E65" s="282">
        <v>7336.7520000000004</v>
      </c>
      <c r="F65" s="256">
        <v>2.8782000000000001</v>
      </c>
      <c r="G65" s="256">
        <v>2.8782000000000001</v>
      </c>
      <c r="H65" s="282">
        <v>1614.607</v>
      </c>
      <c r="I65" s="282">
        <f t="shared" si="1"/>
        <v>560.97804183170035</v>
      </c>
      <c r="J65" s="256">
        <f t="shared" si="2"/>
        <v>7.646136080812059E-2</v>
      </c>
      <c r="K65" s="256">
        <f t="shared" si="3"/>
        <v>7.646136390431818E-2</v>
      </c>
      <c r="L65" s="282">
        <f t="shared" si="4"/>
        <v>1614.6070653812887</v>
      </c>
      <c r="M65" s="256">
        <f t="shared" si="5"/>
        <v>1934.7194274687738</v>
      </c>
      <c r="N65" s="282">
        <f t="shared" si="6"/>
        <v>8791.3381114607873</v>
      </c>
      <c r="O65" s="282">
        <f t="shared" si="7"/>
        <v>8791.3381114607873</v>
      </c>
      <c r="P65" s="282">
        <f t="shared" si="8"/>
        <v>1150.9960171656714</v>
      </c>
      <c r="Q65" s="282">
        <f t="shared" si="9"/>
        <v>399.90133318243051</v>
      </c>
    </row>
    <row r="66" spans="4:18" x14ac:dyDescent="0.25">
      <c r="D66" s="256" t="s">
        <v>187</v>
      </c>
      <c r="E66" s="282">
        <v>7336.7520000000004</v>
      </c>
      <c r="F66" s="256">
        <v>0.8427</v>
      </c>
      <c r="G66" s="256">
        <v>0.8427</v>
      </c>
      <c r="H66" s="282">
        <v>472.7362</v>
      </c>
      <c r="I66" s="282">
        <f t="shared" si="1"/>
        <v>560.97804675447969</v>
      </c>
      <c r="J66" s="256">
        <f t="shared" si="2"/>
        <v>7.646136147909588E-2</v>
      </c>
      <c r="K66" s="256">
        <f t="shared" si="3"/>
        <v>7.646136390431818E-2</v>
      </c>
      <c r="L66" s="282">
        <f t="shared" si="4"/>
        <v>472.73621499437564</v>
      </c>
      <c r="M66" s="256">
        <f t="shared" si="5"/>
        <v>566.4610039357708</v>
      </c>
      <c r="N66" s="282">
        <f t="shared" si="6"/>
        <v>8791.3381114607855</v>
      </c>
      <c r="O66" s="282">
        <f t="shared" si="7"/>
        <v>8791.3381114607873</v>
      </c>
      <c r="P66" s="282">
        <f t="shared" si="8"/>
        <v>336.99685347283418</v>
      </c>
      <c r="Q66" s="282">
        <f t="shared" si="9"/>
        <v>399.90133318243051</v>
      </c>
    </row>
    <row r="67" spans="4:18" x14ac:dyDescent="0.25">
      <c r="D67" s="256" t="s">
        <v>185</v>
      </c>
      <c r="E67" s="282">
        <v>11787.442499999999</v>
      </c>
      <c r="F67" s="256">
        <v>0.90400000000000003</v>
      </c>
      <c r="G67" s="256">
        <v>1.4596</v>
      </c>
      <c r="H67" s="282">
        <v>1197.7860000000001</v>
      </c>
      <c r="I67" s="282" t="str">
        <f t="shared" si="1"/>
        <v/>
      </c>
      <c r="J67" s="256" t="b">
        <f t="shared" si="2"/>
        <v>0</v>
      </c>
      <c r="K67" s="256">
        <f t="shared" si="3"/>
        <v>7.646136390431818E-2</v>
      </c>
      <c r="L67" s="282">
        <f t="shared" si="4"/>
        <v>1315.5140249486424</v>
      </c>
      <c r="M67" s="256">
        <f t="shared" si="5"/>
        <v>1576.3281331701241</v>
      </c>
      <c r="N67" s="282">
        <f t="shared" si="6"/>
        <v>14124.4235169599</v>
      </c>
      <c r="O67" s="282">
        <f t="shared" si="7"/>
        <v>14124.423516959903</v>
      </c>
      <c r="P67" s="282">
        <f t="shared" si="8"/>
        <v>937.78321407500039</v>
      </c>
      <c r="Q67" s="282">
        <f t="shared" si="9"/>
        <v>642.49329547478783</v>
      </c>
    </row>
    <row r="68" spans="4:18" x14ac:dyDescent="0.25">
      <c r="D68" s="256" t="s">
        <v>183</v>
      </c>
      <c r="E68" s="282">
        <v>11787.442499999999</v>
      </c>
      <c r="F68" s="256">
        <v>1.3541000000000001</v>
      </c>
      <c r="G68" s="256">
        <v>1.3541000000000001</v>
      </c>
      <c r="H68" s="282">
        <v>1220.4290000000001</v>
      </c>
      <c r="I68" s="282">
        <f t="shared" si="1"/>
        <v>901.28424783989362</v>
      </c>
      <c r="J68" s="256">
        <f t="shared" si="2"/>
        <v>7.6461390826711884E-2</v>
      </c>
      <c r="K68" s="256">
        <f t="shared" si="3"/>
        <v>7.646136390431818E-2</v>
      </c>
      <c r="L68" s="282">
        <f t="shared" si="4"/>
        <v>1220.4285702815544</v>
      </c>
      <c r="M68" s="256">
        <f t="shared" si="5"/>
        <v>1462.391014747647</v>
      </c>
      <c r="N68" s="282">
        <f t="shared" si="6"/>
        <v>14124.423516959905</v>
      </c>
      <c r="O68" s="282">
        <f t="shared" si="7"/>
        <v>14124.423516959903</v>
      </c>
      <c r="P68" s="282">
        <f t="shared" si="8"/>
        <v>870.00017140241027</v>
      </c>
      <c r="Q68" s="282">
        <f t="shared" si="9"/>
        <v>642.49329547478783</v>
      </c>
    </row>
    <row r="69" spans="4:18" x14ac:dyDescent="0.25">
      <c r="D69" s="256" t="s">
        <v>181</v>
      </c>
      <c r="E69" s="282">
        <v>30869.197499999998</v>
      </c>
      <c r="F69" s="256">
        <v>10.6821</v>
      </c>
      <c r="G69" s="256">
        <v>10.6821</v>
      </c>
      <c r="H69" s="282">
        <v>23457.83</v>
      </c>
      <c r="I69" s="282">
        <f t="shared" si="1"/>
        <v>2195.9942333436311</v>
      </c>
      <c r="J69" s="256">
        <f t="shared" si="2"/>
        <v>7.113868876389258E-2</v>
      </c>
      <c r="K69" s="256">
        <f t="shared" si="3"/>
        <v>7.646136390431818E-2</v>
      </c>
      <c r="L69" s="282">
        <f t="shared" si="4"/>
        <v>25212.970708366604</v>
      </c>
      <c r="M69" s="256">
        <f t="shared" si="5"/>
        <v>30211.699985444211</v>
      </c>
      <c r="N69" s="282">
        <f t="shared" si="6"/>
        <v>36989.331580508653</v>
      </c>
      <c r="O69" s="282">
        <f t="shared" si="7"/>
        <v>36989.331580508653</v>
      </c>
      <c r="P69" s="282">
        <f t="shared" si="8"/>
        <v>17973.43111427029</v>
      </c>
      <c r="Q69" s="282">
        <f t="shared" si="9"/>
        <v>1682.5746917057779</v>
      </c>
    </row>
    <row r="70" spans="4:18" x14ac:dyDescent="0.25">
      <c r="D70" s="256" t="s">
        <v>179</v>
      </c>
      <c r="E70" s="282">
        <v>15434.5988</v>
      </c>
      <c r="F70" s="256">
        <v>9.9384999999999994</v>
      </c>
      <c r="G70" s="256">
        <v>0.45069999999999999</v>
      </c>
      <c r="H70" s="282">
        <v>11728.91</v>
      </c>
      <c r="I70" s="282" t="str">
        <f t="shared" si="1"/>
        <v/>
      </c>
      <c r="J70" s="256" t="b">
        <f t="shared" si="2"/>
        <v>0</v>
      </c>
      <c r="K70" s="256">
        <f t="shared" si="3"/>
        <v>7.646136390431818E-2</v>
      </c>
      <c r="L70" s="282">
        <f t="shared" si="4"/>
        <v>531.89381933667346</v>
      </c>
      <c r="M70" s="256">
        <f t="shared" si="5"/>
        <v>637.34720829938578</v>
      </c>
      <c r="N70" s="282">
        <f t="shared" si="6"/>
        <v>18494.665850167337</v>
      </c>
      <c r="O70" s="282">
        <f t="shared" si="7"/>
        <v>18494.665850167337</v>
      </c>
      <c r="P70" s="282">
        <f t="shared" si="8"/>
        <v>379.16820800420305</v>
      </c>
      <c r="Q70" s="282">
        <f t="shared" si="9"/>
        <v>841.28734857821848</v>
      </c>
    </row>
    <row r="71" spans="4:18" x14ac:dyDescent="0.25">
      <c r="D71" s="256" t="s">
        <v>177</v>
      </c>
      <c r="E71" s="282">
        <v>7717.2993999999999</v>
      </c>
      <c r="F71" s="256">
        <v>0.77349999999999997</v>
      </c>
      <c r="G71" s="256">
        <v>0.97140000000000004</v>
      </c>
      <c r="H71" s="282">
        <v>572.44619999999998</v>
      </c>
      <c r="I71" s="282" t="str">
        <f t="shared" si="1"/>
        <v/>
      </c>
      <c r="J71" s="256" t="b">
        <f t="shared" si="2"/>
        <v>0</v>
      </c>
      <c r="K71" s="256">
        <f t="shared" si="3"/>
        <v>7.646136390431818E-2</v>
      </c>
      <c r="L71" s="282">
        <f t="shared" si="4"/>
        <v>573.19908598141183</v>
      </c>
      <c r="M71" s="256">
        <f t="shared" si="5"/>
        <v>686.8416664544302</v>
      </c>
      <c r="N71" s="282">
        <f t="shared" si="6"/>
        <v>9247.3329250836687</v>
      </c>
      <c r="O71" s="282">
        <f t="shared" si="7"/>
        <v>9247.3329250836687</v>
      </c>
      <c r="P71" s="282">
        <f t="shared" si="8"/>
        <v>408.61326520444072</v>
      </c>
      <c r="Q71" s="282">
        <f t="shared" si="9"/>
        <v>420.64367428910924</v>
      </c>
    </row>
    <row r="73" spans="4:18" x14ac:dyDescent="0.25">
      <c r="D73" s="256" t="s">
        <v>115</v>
      </c>
      <c r="L73" s="282">
        <f>SUM(L58:L71)</f>
        <v>46759.860589679658</v>
      </c>
      <c r="M73" s="282">
        <f>SUM(M58:M71)</f>
        <v>56030.481129612133</v>
      </c>
      <c r="P73" s="282">
        <f>SUM(P58:P71)</f>
        <v>33333.443446337005</v>
      </c>
    </row>
    <row r="74" spans="4:18" x14ac:dyDescent="0.25">
      <c r="D74" s="256" t="s">
        <v>512</v>
      </c>
      <c r="M74" s="282">
        <f>G9</f>
        <v>56030.481129612126</v>
      </c>
      <c r="P74" s="282">
        <f>G14</f>
        <v>33333.443446337005</v>
      </c>
    </row>
    <row r="76" spans="4:18" x14ac:dyDescent="0.25">
      <c r="E76" s="289" t="s">
        <v>126</v>
      </c>
      <c r="F76" s="289"/>
      <c r="G76" s="289"/>
      <c r="H76" s="289"/>
      <c r="I76" s="289"/>
      <c r="J76" s="289"/>
      <c r="K76" s="289"/>
      <c r="L76" s="289"/>
      <c r="M76" s="289">
        <v>2012</v>
      </c>
      <c r="N76" s="289" t="s">
        <v>1692</v>
      </c>
      <c r="O76" s="289"/>
      <c r="P76" s="289"/>
      <c r="Q76" s="289" t="s">
        <v>1699</v>
      </c>
    </row>
    <row r="77" spans="4:18" x14ac:dyDescent="0.25">
      <c r="D77" s="336" t="s">
        <v>125</v>
      </c>
      <c r="F77" s="256">
        <v>34.200000000000003</v>
      </c>
      <c r="G77" s="256">
        <f>F77</f>
        <v>34.200000000000003</v>
      </c>
      <c r="K77" s="256">
        <f>PMT($K$56,$K$55,-1,0,1)</f>
        <v>7.646136390431818E-2</v>
      </c>
      <c r="N77" s="292">
        <f>M78/K77/G77</f>
        <v>6329.306544990015</v>
      </c>
      <c r="Q77" s="296">
        <f>P78/G77</f>
        <v>287.90817659056211</v>
      </c>
    </row>
    <row r="78" spans="4:18" x14ac:dyDescent="0.25">
      <c r="D78" s="256" t="s">
        <v>512</v>
      </c>
      <c r="M78" s="282">
        <f>G8</f>
        <v>16551.001456147482</v>
      </c>
      <c r="P78" s="282">
        <f>G13</f>
        <v>9846.4596393972242</v>
      </c>
    </row>
    <row r="80" spans="4:18" x14ac:dyDescent="0.25">
      <c r="E80" s="299" t="s">
        <v>1438</v>
      </c>
      <c r="F80" s="289"/>
      <c r="G80" s="289"/>
      <c r="H80" s="289"/>
      <c r="I80" s="289"/>
      <c r="J80" s="289"/>
      <c r="K80" s="289"/>
      <c r="L80" s="289"/>
      <c r="M80" s="289"/>
      <c r="N80" s="289"/>
      <c r="O80" s="289"/>
      <c r="P80" s="289"/>
      <c r="Q80" s="289"/>
      <c r="R80" s="289"/>
    </row>
    <row r="81" spans="4:27" s="298" customFormat="1" ht="60" x14ac:dyDescent="0.25">
      <c r="E81" s="299" t="s">
        <v>1698</v>
      </c>
      <c r="F81" s="299" t="s">
        <v>1697</v>
      </c>
      <c r="G81" s="299" t="s">
        <v>1696</v>
      </c>
      <c r="H81" s="299" t="s">
        <v>1695</v>
      </c>
      <c r="I81" s="299" t="s">
        <v>1694</v>
      </c>
      <c r="J81" s="299" t="s">
        <v>1693</v>
      </c>
      <c r="K81" s="299" t="s">
        <v>1692</v>
      </c>
      <c r="L81" s="299" t="s">
        <v>1691</v>
      </c>
      <c r="M81" s="299" t="s">
        <v>1690</v>
      </c>
      <c r="N81" s="299" t="s">
        <v>1689</v>
      </c>
      <c r="O81" s="299" t="s">
        <v>1688</v>
      </c>
      <c r="P81" s="298" t="s">
        <v>1687</v>
      </c>
      <c r="Q81" s="298" t="s">
        <v>1686</v>
      </c>
      <c r="R81" s="298" t="s">
        <v>117</v>
      </c>
      <c r="S81" s="298" t="s">
        <v>1685</v>
      </c>
    </row>
    <row r="82" spans="4:27" x14ac:dyDescent="0.25">
      <c r="D82" s="256" t="s">
        <v>270</v>
      </c>
      <c r="E82" s="287">
        <v>22451</v>
      </c>
      <c r="F82" s="256">
        <f>INDEX(ProcDataGenPre2012!$AT$9:$AT$30,MATCH(D82,ProcDataGenPre2012!$B$9:$B$30,0))</f>
        <v>1.58</v>
      </c>
      <c r="G82" s="256">
        <f>INDEX(ProcDataGenPre2012!$M$9:$M$30,MATCH(D82,ProcDataGenPre2012!$B$9:$B$30,0))</f>
        <v>50</v>
      </c>
      <c r="H82" s="297">
        <f t="shared" ref="H82:H103" si="10">PMT($K$56,G82,-1,0,1)</f>
        <v>7.7287852981086286E-2</v>
      </c>
      <c r="I82" s="296">
        <f t="shared" ref="I82:I103" si="11">E82*F82*H82</f>
        <v>2741.599547899822</v>
      </c>
      <c r="J82" s="282">
        <f t="shared" ref="J82:J103" si="12">I82*$I$107</f>
        <v>850.30504627316543</v>
      </c>
      <c r="K82" s="292">
        <f t="shared" ref="K82:K103" si="13">J82/H82/F82</f>
        <v>6963.1608337923444</v>
      </c>
      <c r="L82" s="256">
        <v>9.89</v>
      </c>
      <c r="M82" s="282">
        <f t="shared" ref="M82:M103" si="14">F82*L82</f>
        <v>15.626200000000001</v>
      </c>
      <c r="N82" s="292">
        <f t="shared" ref="N82:N103" si="15">M82*$M$107</f>
        <v>10.042137334066737</v>
      </c>
      <c r="O82" s="292">
        <f t="shared" ref="O82:O103" si="16">N82/F82</f>
        <v>6.3557831228270487</v>
      </c>
      <c r="P82" s="256">
        <v>0</v>
      </c>
      <c r="Q82" s="256">
        <f t="shared" ref="Q82:Q103" si="17">P82*$M$107</f>
        <v>0</v>
      </c>
      <c r="R82" s="256">
        <v>0</v>
      </c>
      <c r="S82" s="285">
        <f t="shared" ref="S82:S103" si="18">R82*$M$107</f>
        <v>0</v>
      </c>
      <c r="Z82" s="256">
        <v>2011</v>
      </c>
      <c r="AA82" s="256">
        <v>2012</v>
      </c>
    </row>
    <row r="83" spans="4:27" x14ac:dyDescent="0.25">
      <c r="D83" s="256" t="s">
        <v>276</v>
      </c>
      <c r="E83" s="287">
        <v>22781.423999999999</v>
      </c>
      <c r="F83" s="256">
        <f>INDEX(ProcDataGenPre2012!$AT$9:$AT$30,MATCH(D83,ProcDataGenPre2012!$B$9:$B$30,0))</f>
        <v>0.66500000000000004</v>
      </c>
      <c r="G83" s="256">
        <f>INDEX(ProcDataGenPre2012!$M$9:$M$30,MATCH(D83,ProcDataGenPre2012!$B$9:$B$30,0))</f>
        <v>50</v>
      </c>
      <c r="H83" s="297">
        <f t="shared" si="10"/>
        <v>7.7287852981086286E-2</v>
      </c>
      <c r="I83" s="296">
        <f t="shared" si="11"/>
        <v>1170.8836869598408</v>
      </c>
      <c r="J83" s="282">
        <f t="shared" si="12"/>
        <v>363.14869849740052</v>
      </c>
      <c r="K83" s="292">
        <f t="shared" si="13"/>
        <v>7065.6415898987534</v>
      </c>
      <c r="L83" s="256">
        <v>91.438000000000002</v>
      </c>
      <c r="M83" s="282">
        <f t="shared" si="14"/>
        <v>60.806270000000005</v>
      </c>
      <c r="N83" s="292">
        <f t="shared" si="15"/>
        <v>39.076993390097549</v>
      </c>
      <c r="O83" s="292">
        <f t="shared" si="16"/>
        <v>58.762396075334657</v>
      </c>
      <c r="P83" s="256">
        <v>0</v>
      </c>
      <c r="Q83" s="256">
        <f t="shared" si="17"/>
        <v>0</v>
      </c>
      <c r="R83" s="256">
        <v>0</v>
      </c>
      <c r="S83" s="285">
        <f t="shared" si="18"/>
        <v>0</v>
      </c>
      <c r="Y83" s="256" t="s">
        <v>252</v>
      </c>
      <c r="AA83" s="256">
        <v>30</v>
      </c>
    </row>
    <row r="84" spans="4:27" x14ac:dyDescent="0.25">
      <c r="D84" s="256" t="s">
        <v>274</v>
      </c>
      <c r="E84" s="287">
        <v>22781.423999999999</v>
      </c>
      <c r="F84" s="256">
        <f>INDEX(ProcDataGenPre2012!$AT$9:$AT$30,MATCH(D84,ProcDataGenPre2012!$B$9:$B$30,0))</f>
        <v>1.5</v>
      </c>
      <c r="G84" s="256">
        <f>INDEX(ProcDataGenPre2012!$M$9:$M$30,MATCH(D84,ProcDataGenPre2012!$B$9:$B$30,0))</f>
        <v>50</v>
      </c>
      <c r="H84" s="297">
        <f t="shared" si="10"/>
        <v>7.7287852981086286E-2</v>
      </c>
      <c r="I84" s="296">
        <f t="shared" si="11"/>
        <v>2641.0910232176857</v>
      </c>
      <c r="J84" s="282">
        <f t="shared" si="12"/>
        <v>819.13240262571526</v>
      </c>
      <c r="K84" s="292">
        <f t="shared" si="13"/>
        <v>7065.6415898987516</v>
      </c>
      <c r="L84" s="256">
        <v>91.438000000000002</v>
      </c>
      <c r="M84" s="282">
        <f t="shared" si="14"/>
        <v>137.15700000000001</v>
      </c>
      <c r="N84" s="292">
        <f t="shared" si="15"/>
        <v>88.143594113001981</v>
      </c>
      <c r="O84" s="292">
        <f t="shared" si="16"/>
        <v>58.762396075334657</v>
      </c>
      <c r="P84" s="256">
        <v>0</v>
      </c>
      <c r="Q84" s="256">
        <f t="shared" si="17"/>
        <v>0</v>
      </c>
      <c r="R84" s="256">
        <v>0</v>
      </c>
      <c r="S84" s="285">
        <f t="shared" si="18"/>
        <v>0</v>
      </c>
      <c r="Y84" s="256" t="s">
        <v>302</v>
      </c>
      <c r="Z84" s="256">
        <v>10</v>
      </c>
      <c r="AA84" s="256">
        <v>10</v>
      </c>
    </row>
    <row r="85" spans="4:27" x14ac:dyDescent="0.25">
      <c r="D85" s="256" t="s">
        <v>302</v>
      </c>
      <c r="E85" s="287">
        <v>38904</v>
      </c>
      <c r="F85" s="256">
        <f>INDEX(ProcDataGenPre2012!$AT$9:$AT$30,MATCH(D85,ProcDataGenPre2012!$B$9:$B$30,0))</f>
        <v>2.2320000000000002</v>
      </c>
      <c r="G85" s="256">
        <f>INDEX(ProcDataGenPre2012!$M$9:$M$30,MATCH(D85,ProcDataGenPre2012!$B$9:$B$30,0))</f>
        <v>30</v>
      </c>
      <c r="H85" s="297">
        <f t="shared" si="10"/>
        <v>8.3649631192199009E-2</v>
      </c>
      <c r="I85" s="296">
        <f t="shared" si="11"/>
        <v>7263.6093222437248</v>
      </c>
      <c r="J85" s="282">
        <f t="shared" si="12"/>
        <v>2252.8029907182954</v>
      </c>
      <c r="K85" s="292">
        <f t="shared" si="13"/>
        <v>12066.046460195861</v>
      </c>
      <c r="L85" s="256">
        <v>845</v>
      </c>
      <c r="M85" s="282">
        <f t="shared" si="14"/>
        <v>1886.0400000000002</v>
      </c>
      <c r="N85" s="292">
        <f t="shared" si="15"/>
        <v>1212.0587665294975</v>
      </c>
      <c r="O85" s="292">
        <f t="shared" si="16"/>
        <v>543.03708177844862</v>
      </c>
      <c r="P85" s="256">
        <v>993.75189999999998</v>
      </c>
      <c r="Q85" s="256">
        <f t="shared" si="17"/>
        <v>638.63210862460198</v>
      </c>
      <c r="R85" s="256">
        <v>20.277799999999999</v>
      </c>
      <c r="S85" s="285">
        <f t="shared" si="18"/>
        <v>13.031476138327839</v>
      </c>
      <c r="Y85" s="256" t="s">
        <v>308</v>
      </c>
      <c r="Z85" s="256">
        <v>10</v>
      </c>
      <c r="AA85" s="256">
        <v>10</v>
      </c>
    </row>
    <row r="86" spans="4:27" x14ac:dyDescent="0.25">
      <c r="D86" s="256" t="s">
        <v>308</v>
      </c>
      <c r="E86" s="287">
        <v>38904</v>
      </c>
      <c r="F86" s="256">
        <f>INDEX(ProcDataGenPre2012!$AT$9:$AT$30,MATCH(D86,ProcDataGenPre2012!$B$9:$B$30,0))</f>
        <v>1.4810000000000001</v>
      </c>
      <c r="G86" s="256">
        <f>INDEX(ProcDataGenPre2012!$M$9:$M$30,MATCH(D86,ProcDataGenPre2012!$B$9:$B$30,0))</f>
        <v>30</v>
      </c>
      <c r="H86" s="297">
        <f t="shared" si="10"/>
        <v>8.3649631192199009E-2</v>
      </c>
      <c r="I86" s="296">
        <f t="shared" si="11"/>
        <v>4819.6260780658404</v>
      </c>
      <c r="J86" s="282">
        <f t="shared" si="12"/>
        <v>1494.8034181244604</v>
      </c>
      <c r="K86" s="292">
        <f t="shared" si="13"/>
        <v>12066.046460195865</v>
      </c>
      <c r="L86" s="256">
        <v>845</v>
      </c>
      <c r="M86" s="282">
        <f t="shared" si="14"/>
        <v>1251.4450000000002</v>
      </c>
      <c r="N86" s="292">
        <f t="shared" si="15"/>
        <v>804.23791811388242</v>
      </c>
      <c r="O86" s="292">
        <f t="shared" si="16"/>
        <v>543.03708177844862</v>
      </c>
      <c r="P86" s="256">
        <v>680.4067</v>
      </c>
      <c r="Q86" s="256">
        <f t="shared" si="17"/>
        <v>437.26161987041934</v>
      </c>
      <c r="R86" s="256">
        <v>20.277799999999999</v>
      </c>
      <c r="S86" s="285">
        <f t="shared" si="18"/>
        <v>13.031476138327839</v>
      </c>
      <c r="Y86" s="256" t="s">
        <v>300</v>
      </c>
      <c r="Z86" s="256">
        <v>9</v>
      </c>
      <c r="AA86" s="256">
        <v>9</v>
      </c>
    </row>
    <row r="87" spans="4:27" x14ac:dyDescent="0.25">
      <c r="D87" s="256" t="s">
        <v>300</v>
      </c>
      <c r="E87" s="287">
        <v>38904</v>
      </c>
      <c r="F87" s="256">
        <f>INDEX(ProcDataGenPre2012!$AT$9:$AT$30,MATCH(D87,ProcDataGenPre2012!$B$9:$B$30,0))</f>
        <v>2.875</v>
      </c>
      <c r="G87" s="256">
        <f>INDEX(ProcDataGenPre2012!$M$9:$M$30,MATCH(D87,ProcDataGenPre2012!$B$9:$B$30,0))</f>
        <v>30</v>
      </c>
      <c r="H87" s="297">
        <f t="shared" si="10"/>
        <v>8.3649631192199009E-2</v>
      </c>
      <c r="I87" s="296">
        <f t="shared" si="11"/>
        <v>9356.1275992162664</v>
      </c>
      <c r="J87" s="282">
        <f t="shared" si="12"/>
        <v>2901.7959669870515</v>
      </c>
      <c r="K87" s="292">
        <f t="shared" si="13"/>
        <v>12066.046460195863</v>
      </c>
      <c r="L87" s="256">
        <v>845</v>
      </c>
      <c r="M87" s="282">
        <f t="shared" si="14"/>
        <v>2429.375</v>
      </c>
      <c r="N87" s="292">
        <f t="shared" si="15"/>
        <v>1561.2316101130398</v>
      </c>
      <c r="O87" s="292">
        <f t="shared" si="16"/>
        <v>543.03708177844862</v>
      </c>
      <c r="P87" s="256">
        <v>1557.7729999999999</v>
      </c>
      <c r="Q87" s="256">
        <f t="shared" si="17"/>
        <v>1001.0988212937978</v>
      </c>
      <c r="R87" s="256">
        <v>20.277799999999999</v>
      </c>
      <c r="S87" s="285">
        <f t="shared" si="18"/>
        <v>13.031476138327839</v>
      </c>
      <c r="Y87" s="256" t="s">
        <v>306</v>
      </c>
      <c r="Z87" s="256">
        <v>10</v>
      </c>
      <c r="AA87" s="256">
        <v>10</v>
      </c>
    </row>
    <row r="88" spans="4:27" x14ac:dyDescent="0.25">
      <c r="D88" s="256" t="s">
        <v>306</v>
      </c>
      <c r="E88" s="287">
        <v>38904</v>
      </c>
      <c r="F88" s="256">
        <f>INDEX(ProcDataGenPre2012!$AT$9:$AT$30,MATCH(D88,ProcDataGenPre2012!$B$9:$B$30,0))</f>
        <v>1.1200000000000001</v>
      </c>
      <c r="G88" s="256">
        <f>INDEX(ProcDataGenPre2012!$M$9:$M$30,MATCH(D88,ProcDataGenPre2012!$B$9:$B$30,0))</f>
        <v>30</v>
      </c>
      <c r="H88" s="297">
        <f t="shared" si="10"/>
        <v>8.3649631192199009E-2</v>
      </c>
      <c r="I88" s="296">
        <f t="shared" si="11"/>
        <v>3644.8218821294677</v>
      </c>
      <c r="J88" s="282">
        <f t="shared" si="12"/>
        <v>1130.4387767045212</v>
      </c>
      <c r="K88" s="292">
        <f t="shared" si="13"/>
        <v>12066.046460195863</v>
      </c>
      <c r="L88" s="256">
        <v>845</v>
      </c>
      <c r="M88" s="282">
        <f t="shared" si="14"/>
        <v>946.40000000000009</v>
      </c>
      <c r="N88" s="292">
        <f t="shared" si="15"/>
        <v>608.20153159186248</v>
      </c>
      <c r="O88" s="292">
        <f t="shared" si="16"/>
        <v>543.03708177844862</v>
      </c>
      <c r="P88" s="256">
        <v>483.44690000000003</v>
      </c>
      <c r="Q88" s="256">
        <f t="shared" si="17"/>
        <v>310.68590978797334</v>
      </c>
      <c r="R88" s="256">
        <v>20.277799999999999</v>
      </c>
      <c r="S88" s="285">
        <f t="shared" si="18"/>
        <v>13.031476138327839</v>
      </c>
      <c r="Y88" s="256" t="s">
        <v>298</v>
      </c>
      <c r="Z88" s="256">
        <v>10</v>
      </c>
      <c r="AA88" s="256">
        <v>10</v>
      </c>
    </row>
    <row r="89" spans="4:27" x14ac:dyDescent="0.25">
      <c r="D89" s="256" t="s">
        <v>298</v>
      </c>
      <c r="E89" s="287">
        <v>38904</v>
      </c>
      <c r="F89" s="256">
        <f>INDEX(ProcDataGenPre2012!$AT$9:$AT$30,MATCH(D89,ProcDataGenPre2012!$B$9:$B$30,0))</f>
        <v>1.6379999999999999</v>
      </c>
      <c r="G89" s="256">
        <f>INDEX(ProcDataGenPre2012!$M$9:$M$30,MATCH(D89,ProcDataGenPre2012!$B$9:$B$30,0))</f>
        <v>30</v>
      </c>
      <c r="H89" s="297">
        <f t="shared" si="10"/>
        <v>8.3649631192199009E-2</v>
      </c>
      <c r="I89" s="296">
        <f t="shared" si="11"/>
        <v>5330.5520026143458</v>
      </c>
      <c r="J89" s="282">
        <f t="shared" si="12"/>
        <v>1653.266710930362</v>
      </c>
      <c r="K89" s="292">
        <f t="shared" si="13"/>
        <v>12066.046460195863</v>
      </c>
      <c r="L89" s="256">
        <v>845</v>
      </c>
      <c r="M89" s="282">
        <f t="shared" si="14"/>
        <v>1384.11</v>
      </c>
      <c r="N89" s="292">
        <f t="shared" si="15"/>
        <v>889.4947399530987</v>
      </c>
      <c r="O89" s="292">
        <f t="shared" si="16"/>
        <v>543.03708177844862</v>
      </c>
      <c r="P89" s="256">
        <v>850.50840000000005</v>
      </c>
      <c r="Q89" s="256">
        <f t="shared" si="17"/>
        <v>546.57704090421009</v>
      </c>
      <c r="R89" s="256">
        <v>20.277799999999999</v>
      </c>
      <c r="S89" s="285">
        <f t="shared" si="18"/>
        <v>13.031476138327839</v>
      </c>
      <c r="Y89" s="256" t="s">
        <v>1284</v>
      </c>
      <c r="AA89" s="256">
        <v>30</v>
      </c>
    </row>
    <row r="90" spans="4:27" x14ac:dyDescent="0.25">
      <c r="D90" s="256" t="s">
        <v>280</v>
      </c>
      <c r="E90" s="287">
        <v>38904</v>
      </c>
      <c r="F90" s="256">
        <f>INDEX(ProcDataGenPre2012!$AT$9:$AT$30,MATCH(D90,ProcDataGenPre2012!$B$9:$B$30,0))</f>
        <v>0.6</v>
      </c>
      <c r="G90" s="256">
        <f>INDEX(ProcDataGenPre2012!$M$9:$M$30,MATCH(D90,ProcDataGenPre2012!$B$9:$B$30,0))</f>
        <v>30</v>
      </c>
      <c r="H90" s="297">
        <f t="shared" si="10"/>
        <v>8.3649631192199009E-2</v>
      </c>
      <c r="I90" s="296">
        <f t="shared" si="11"/>
        <v>1952.583151140786</v>
      </c>
      <c r="J90" s="282">
        <f t="shared" si="12"/>
        <v>605.59220180599334</v>
      </c>
      <c r="K90" s="292">
        <f t="shared" si="13"/>
        <v>12066.046460195863</v>
      </c>
      <c r="L90" s="256">
        <v>845</v>
      </c>
      <c r="M90" s="282">
        <f t="shared" si="14"/>
        <v>507</v>
      </c>
      <c r="N90" s="292">
        <f t="shared" si="15"/>
        <v>325.82224906706915</v>
      </c>
      <c r="O90" s="292">
        <f t="shared" si="16"/>
        <v>543.03708177844862</v>
      </c>
      <c r="P90" s="256">
        <v>30.581</v>
      </c>
      <c r="Q90" s="256">
        <f t="shared" si="17"/>
        <v>19.652801180907378</v>
      </c>
      <c r="R90" s="256">
        <v>20.277799999999999</v>
      </c>
      <c r="S90" s="285">
        <f t="shared" si="18"/>
        <v>13.031476138327839</v>
      </c>
      <c r="Y90" s="256" t="s">
        <v>1282</v>
      </c>
      <c r="AA90" s="256">
        <v>10</v>
      </c>
    </row>
    <row r="91" spans="4:27" x14ac:dyDescent="0.25">
      <c r="D91" s="256" t="s">
        <v>296</v>
      </c>
      <c r="E91" s="287">
        <v>38904</v>
      </c>
      <c r="F91" s="256">
        <f>INDEX(ProcDataGenPre2012!$AT$9:$AT$30,MATCH(D91,ProcDataGenPre2012!$B$9:$B$30,0))</f>
        <v>3.84</v>
      </c>
      <c r="G91" s="256">
        <f>INDEX(ProcDataGenPre2012!$M$9:$M$30,MATCH(D91,ProcDataGenPre2012!$B$9:$B$30,0))</f>
        <v>30</v>
      </c>
      <c r="H91" s="297">
        <f t="shared" si="10"/>
        <v>8.3649631192199009E-2</v>
      </c>
      <c r="I91" s="296">
        <f t="shared" si="11"/>
        <v>12496.532167301029</v>
      </c>
      <c r="J91" s="282">
        <f t="shared" si="12"/>
        <v>3875.7900915583573</v>
      </c>
      <c r="K91" s="292">
        <f t="shared" si="13"/>
        <v>12066.046460195863</v>
      </c>
      <c r="L91" s="256">
        <v>845</v>
      </c>
      <c r="M91" s="282">
        <f t="shared" si="14"/>
        <v>3244.7999999999997</v>
      </c>
      <c r="N91" s="292">
        <f t="shared" si="15"/>
        <v>2085.2623940292424</v>
      </c>
      <c r="O91" s="292">
        <f t="shared" si="16"/>
        <v>543.03708177844851</v>
      </c>
      <c r="P91" s="256">
        <v>1718.922</v>
      </c>
      <c r="Q91" s="256">
        <f t="shared" si="17"/>
        <v>1104.6608126447034</v>
      </c>
      <c r="R91" s="256">
        <v>20.277799999999999</v>
      </c>
      <c r="S91" s="285">
        <f t="shared" si="18"/>
        <v>13.031476138327839</v>
      </c>
      <c r="Y91" s="256" t="s">
        <v>280</v>
      </c>
      <c r="Z91" s="256">
        <v>10</v>
      </c>
      <c r="AA91" s="256">
        <v>10</v>
      </c>
    </row>
    <row r="92" spans="4:27" x14ac:dyDescent="0.25">
      <c r="D92" s="256" t="s">
        <v>304</v>
      </c>
      <c r="E92" s="287">
        <v>38904</v>
      </c>
      <c r="F92" s="256">
        <f>INDEX(ProcDataGenPre2012!$AT$9:$AT$30,MATCH(D92,ProcDataGenPre2012!$B$9:$B$30,0))</f>
        <v>0.90400000000000003</v>
      </c>
      <c r="G92" s="256">
        <f>INDEX(ProcDataGenPre2012!$M$9:$M$30,MATCH(D92,ProcDataGenPre2012!$B$9:$B$30,0))</f>
        <v>30</v>
      </c>
      <c r="H92" s="297">
        <f t="shared" si="10"/>
        <v>8.3649631192199009E-2</v>
      </c>
      <c r="I92" s="296">
        <f t="shared" si="11"/>
        <v>2941.8919477187846</v>
      </c>
      <c r="J92" s="282">
        <f t="shared" si="12"/>
        <v>912.42558405436341</v>
      </c>
      <c r="K92" s="292">
        <f t="shared" si="13"/>
        <v>12066.046460195863</v>
      </c>
      <c r="L92" s="256">
        <v>845</v>
      </c>
      <c r="M92" s="282">
        <f t="shared" si="14"/>
        <v>763.88</v>
      </c>
      <c r="N92" s="292">
        <f t="shared" si="15"/>
        <v>490.90552192771753</v>
      </c>
      <c r="O92" s="292">
        <f t="shared" si="16"/>
        <v>543.03708177844862</v>
      </c>
      <c r="P92" s="256">
        <v>358.10879999999997</v>
      </c>
      <c r="Q92" s="256">
        <f t="shared" si="17"/>
        <v>230.13770143335157</v>
      </c>
      <c r="R92" s="256">
        <v>20.277799999999999</v>
      </c>
      <c r="S92" s="285">
        <f t="shared" si="18"/>
        <v>13.031476138327839</v>
      </c>
      <c r="Y92" s="256" t="s">
        <v>296</v>
      </c>
      <c r="Z92" s="256">
        <v>16</v>
      </c>
      <c r="AA92" s="256">
        <v>16</v>
      </c>
    </row>
    <row r="93" spans="4:27" x14ac:dyDescent="0.25">
      <c r="D93" s="256" t="s">
        <v>294</v>
      </c>
      <c r="E93" s="287">
        <v>38904</v>
      </c>
      <c r="F93" s="256">
        <f>INDEX(ProcDataGenPre2012!$AT$9:$AT$30,MATCH(D93,ProcDataGenPre2012!$B$9:$B$30,0))</f>
        <v>2.85</v>
      </c>
      <c r="G93" s="256">
        <f>INDEX(ProcDataGenPre2012!$M$9:$M$30,MATCH(D93,ProcDataGenPre2012!$B$9:$B$30,0))</f>
        <v>30</v>
      </c>
      <c r="H93" s="297">
        <f t="shared" si="10"/>
        <v>8.3649631192199009E-2</v>
      </c>
      <c r="I93" s="296">
        <f t="shared" si="11"/>
        <v>9274.7699679187353</v>
      </c>
      <c r="J93" s="282">
        <f t="shared" si="12"/>
        <v>2876.5629585784691</v>
      </c>
      <c r="K93" s="292">
        <f t="shared" si="13"/>
        <v>12066.046460195865</v>
      </c>
      <c r="L93" s="256">
        <v>845</v>
      </c>
      <c r="M93" s="282">
        <f t="shared" si="14"/>
        <v>2408.25</v>
      </c>
      <c r="N93" s="292">
        <f t="shared" si="15"/>
        <v>1547.6556830685784</v>
      </c>
      <c r="O93" s="292">
        <f t="shared" si="16"/>
        <v>543.03708177844851</v>
      </c>
      <c r="P93" s="256">
        <v>1289.192</v>
      </c>
      <c r="Q93" s="256">
        <f t="shared" si="17"/>
        <v>828.49593080724458</v>
      </c>
      <c r="R93" s="256">
        <v>20.277799999999999</v>
      </c>
      <c r="S93" s="285">
        <f t="shared" si="18"/>
        <v>13.031476138327839</v>
      </c>
      <c r="Y93" s="256" t="s">
        <v>304</v>
      </c>
      <c r="Z93" s="256">
        <v>10</v>
      </c>
      <c r="AA93" s="256">
        <v>10</v>
      </c>
    </row>
    <row r="94" spans="4:27" x14ac:dyDescent="0.25">
      <c r="D94" s="256" t="s">
        <v>292</v>
      </c>
      <c r="E94" s="287">
        <v>38904</v>
      </c>
      <c r="F94" s="256">
        <f>INDEX(ProcDataGenPre2012!$AT$9:$AT$30,MATCH(D94,ProcDataGenPre2012!$B$9:$B$30,0))</f>
        <v>3.5579999999999998</v>
      </c>
      <c r="G94" s="256">
        <f>INDEX(ProcDataGenPre2012!$M$9:$M$30,MATCH(D94,ProcDataGenPre2012!$B$9:$B$30,0))</f>
        <v>30</v>
      </c>
      <c r="H94" s="297">
        <f t="shared" si="10"/>
        <v>8.3649631192199009E-2</v>
      </c>
      <c r="I94" s="296">
        <f t="shared" si="11"/>
        <v>11578.818086264862</v>
      </c>
      <c r="J94" s="282">
        <f t="shared" si="12"/>
        <v>3591.1617567095409</v>
      </c>
      <c r="K94" s="292">
        <f t="shared" si="13"/>
        <v>12066.046460195865</v>
      </c>
      <c r="L94" s="256">
        <v>845</v>
      </c>
      <c r="M94" s="282">
        <f t="shared" si="14"/>
        <v>3006.5099999999998</v>
      </c>
      <c r="N94" s="292">
        <f t="shared" si="15"/>
        <v>1932.12593696772</v>
      </c>
      <c r="O94" s="292">
        <f t="shared" si="16"/>
        <v>543.03708177844862</v>
      </c>
      <c r="P94" s="256">
        <v>1584.6310000000001</v>
      </c>
      <c r="Q94" s="256">
        <f t="shared" si="17"/>
        <v>1018.3590460777099</v>
      </c>
      <c r="R94" s="256">
        <v>20.277799999999999</v>
      </c>
      <c r="S94" s="285">
        <f t="shared" si="18"/>
        <v>13.031476138327839</v>
      </c>
      <c r="Y94" s="256" t="s">
        <v>294</v>
      </c>
      <c r="Z94" s="256">
        <v>10</v>
      </c>
      <c r="AA94" s="256">
        <v>10</v>
      </c>
    </row>
    <row r="95" spans="4:27" x14ac:dyDescent="0.25">
      <c r="D95" s="256" t="s">
        <v>290</v>
      </c>
      <c r="E95" s="287">
        <v>38904</v>
      </c>
      <c r="F95" s="256">
        <f>INDEX(ProcDataGenPre2012!$AT$9:$AT$30,MATCH(D95,ProcDataGenPre2012!$B$9:$B$30,0))</f>
        <v>1.8330000000000002</v>
      </c>
      <c r="G95" s="256">
        <f>INDEX(ProcDataGenPre2012!$M$9:$M$30,MATCH(D95,ProcDataGenPre2012!$B$9:$B$30,0))</f>
        <v>30</v>
      </c>
      <c r="H95" s="297">
        <f t="shared" si="10"/>
        <v>8.3649631192199009E-2</v>
      </c>
      <c r="I95" s="296">
        <f t="shared" si="11"/>
        <v>5965.1415267351022</v>
      </c>
      <c r="J95" s="282">
        <f t="shared" si="12"/>
        <v>1850.08417651731</v>
      </c>
      <c r="K95" s="292">
        <f t="shared" si="13"/>
        <v>12066.046460195863</v>
      </c>
      <c r="L95" s="256">
        <v>845</v>
      </c>
      <c r="M95" s="282">
        <f t="shared" si="14"/>
        <v>1548.8850000000002</v>
      </c>
      <c r="N95" s="292">
        <f t="shared" si="15"/>
        <v>995.38697089989637</v>
      </c>
      <c r="O95" s="292">
        <f t="shared" si="16"/>
        <v>543.03708177844862</v>
      </c>
      <c r="P95" s="256">
        <v>819.1739</v>
      </c>
      <c r="Q95" s="256">
        <f t="shared" si="17"/>
        <v>526.44000488174038</v>
      </c>
      <c r="R95" s="256">
        <v>20.277799999999999</v>
      </c>
      <c r="S95" s="285">
        <f t="shared" si="18"/>
        <v>13.031476138327839</v>
      </c>
      <c r="Y95" s="256" t="s">
        <v>292</v>
      </c>
      <c r="Z95" s="256">
        <v>15</v>
      </c>
      <c r="AA95" s="256">
        <v>15</v>
      </c>
    </row>
    <row r="96" spans="4:27" x14ac:dyDescent="0.25">
      <c r="D96" s="256" t="s">
        <v>288</v>
      </c>
      <c r="E96" s="287">
        <v>38904</v>
      </c>
      <c r="F96" s="256">
        <f>INDEX(ProcDataGenPre2012!$AT$9:$AT$30,MATCH(D96,ProcDataGenPre2012!$B$9:$B$30,0))</f>
        <v>2.0099999999999998</v>
      </c>
      <c r="G96" s="256">
        <f>INDEX(ProcDataGenPre2012!$M$9:$M$30,MATCH(D96,ProcDataGenPre2012!$B$9:$B$30,0))</f>
        <v>30</v>
      </c>
      <c r="H96" s="297">
        <f t="shared" si="10"/>
        <v>8.3649631192199009E-2</v>
      </c>
      <c r="I96" s="296">
        <f t="shared" si="11"/>
        <v>6541.153556321633</v>
      </c>
      <c r="J96" s="282">
        <f t="shared" si="12"/>
        <v>2028.7338760500777</v>
      </c>
      <c r="K96" s="292">
        <f t="shared" si="13"/>
        <v>12066.046460195865</v>
      </c>
      <c r="L96" s="256">
        <v>845</v>
      </c>
      <c r="M96" s="282">
        <f t="shared" si="14"/>
        <v>1698.4499999999998</v>
      </c>
      <c r="N96" s="292">
        <f t="shared" si="15"/>
        <v>1091.5045343746815</v>
      </c>
      <c r="O96" s="292">
        <f t="shared" si="16"/>
        <v>543.03708177844851</v>
      </c>
      <c r="P96" s="256">
        <v>899.74839999999995</v>
      </c>
      <c r="Q96" s="256">
        <f t="shared" si="17"/>
        <v>578.22100055719318</v>
      </c>
      <c r="R96" s="256">
        <v>20.277799999999999</v>
      </c>
      <c r="S96" s="285">
        <f t="shared" si="18"/>
        <v>13.031476138327839</v>
      </c>
      <c r="Y96" s="256" t="s">
        <v>290</v>
      </c>
      <c r="Z96" s="256">
        <v>22</v>
      </c>
      <c r="AA96" s="256">
        <v>22</v>
      </c>
    </row>
    <row r="97" spans="4:27" x14ac:dyDescent="0.25">
      <c r="D97" s="256" t="s">
        <v>286</v>
      </c>
      <c r="E97" s="287">
        <v>38904</v>
      </c>
      <c r="F97" s="256">
        <f>INDEX(ProcDataGenPre2012!$AT$9:$AT$30,MATCH(D97,ProcDataGenPre2012!$B$9:$B$30,0))</f>
        <v>3.69</v>
      </c>
      <c r="G97" s="256">
        <f>INDEX(ProcDataGenPre2012!$M$9:$M$30,MATCH(D97,ProcDataGenPre2012!$B$9:$B$30,0))</f>
        <v>30</v>
      </c>
      <c r="H97" s="297">
        <f t="shared" si="10"/>
        <v>8.3649631192199009E-2</v>
      </c>
      <c r="I97" s="296">
        <f t="shared" si="11"/>
        <v>12008.386379515836</v>
      </c>
      <c r="J97" s="282">
        <f t="shared" si="12"/>
        <v>3724.3920411068598</v>
      </c>
      <c r="K97" s="292">
        <f t="shared" si="13"/>
        <v>12066.046460195867</v>
      </c>
      <c r="L97" s="256">
        <v>845</v>
      </c>
      <c r="M97" s="282">
        <f t="shared" si="14"/>
        <v>3118.05</v>
      </c>
      <c r="N97" s="292">
        <f t="shared" si="15"/>
        <v>2003.8068317624754</v>
      </c>
      <c r="O97" s="292">
        <f t="shared" si="16"/>
        <v>543.03708177844862</v>
      </c>
      <c r="P97" s="287">
        <v>1250.6020000000001</v>
      </c>
      <c r="Q97" s="256">
        <f t="shared" si="17"/>
        <v>803.69616632697205</v>
      </c>
      <c r="R97" s="256">
        <v>20.277799999999999</v>
      </c>
      <c r="S97" s="285">
        <f t="shared" si="18"/>
        <v>13.031476138327839</v>
      </c>
      <c r="Y97" s="256" t="s">
        <v>288</v>
      </c>
      <c r="Z97" s="256">
        <v>25</v>
      </c>
      <c r="AA97" s="256">
        <v>25</v>
      </c>
    </row>
    <row r="98" spans="4:27" x14ac:dyDescent="0.25">
      <c r="D98" s="256" t="s">
        <v>284</v>
      </c>
      <c r="E98" s="287">
        <v>38904</v>
      </c>
      <c r="F98" s="256">
        <f>INDEX(ProcDataGenPre2012!$AT$9:$AT$30,MATCH(D98,ProcDataGenPre2012!$B$9:$B$30,0))</f>
        <v>3.45</v>
      </c>
      <c r="G98" s="256">
        <f>INDEX(ProcDataGenPre2012!$M$9:$M$30,MATCH(D98,ProcDataGenPre2012!$B$9:$B$30,0))</f>
        <v>30</v>
      </c>
      <c r="H98" s="297">
        <f t="shared" si="10"/>
        <v>8.3649631192199009E-2</v>
      </c>
      <c r="I98" s="296">
        <f t="shared" si="11"/>
        <v>11227.353119059522</v>
      </c>
      <c r="J98" s="282">
        <f t="shared" si="12"/>
        <v>3482.1551603844628</v>
      </c>
      <c r="K98" s="292">
        <f t="shared" si="13"/>
        <v>12066.046460195865</v>
      </c>
      <c r="L98" s="256">
        <v>845</v>
      </c>
      <c r="M98" s="282">
        <f t="shared" si="14"/>
        <v>2915.25</v>
      </c>
      <c r="N98" s="292">
        <f t="shared" si="15"/>
        <v>1873.4779321356475</v>
      </c>
      <c r="O98" s="292">
        <f t="shared" si="16"/>
        <v>543.03708177844851</v>
      </c>
      <c r="P98" s="256">
        <v>1557.7729999999999</v>
      </c>
      <c r="Q98" s="256">
        <f t="shared" si="17"/>
        <v>1001.0988212937978</v>
      </c>
      <c r="R98" s="256">
        <v>20.277799999999999</v>
      </c>
      <c r="S98" s="285">
        <f t="shared" si="18"/>
        <v>13.031476138327839</v>
      </c>
      <c r="Y98" s="256" t="s">
        <v>286</v>
      </c>
      <c r="AA98" s="256">
        <v>10</v>
      </c>
    </row>
    <row r="99" spans="4:27" x14ac:dyDescent="0.25">
      <c r="D99" s="256" t="s">
        <v>265</v>
      </c>
      <c r="E99" s="287">
        <v>38904</v>
      </c>
      <c r="F99" s="256">
        <f>INDEX(ProcDataGenPre2012!$AT$9:$AT$30,MATCH(D99,ProcDataGenPre2012!$B$9:$B$30,0))</f>
        <v>0.128</v>
      </c>
      <c r="G99" s="256">
        <f>INDEX(ProcDataGenPre2012!$M$9:$M$30,MATCH(D99,ProcDataGenPre2012!$B$9:$B$30,0))</f>
        <v>30</v>
      </c>
      <c r="H99" s="297">
        <f t="shared" si="10"/>
        <v>8.3649631192199009E-2</v>
      </c>
      <c r="I99" s="296">
        <f t="shared" si="11"/>
        <v>416.55107224336774</v>
      </c>
      <c r="J99" s="282">
        <f t="shared" si="12"/>
        <v>129.19300305194528</v>
      </c>
      <c r="K99" s="292">
        <f t="shared" si="13"/>
        <v>12066.046460195865</v>
      </c>
      <c r="L99" s="256">
        <v>845</v>
      </c>
      <c r="M99" s="282">
        <f t="shared" si="14"/>
        <v>108.16</v>
      </c>
      <c r="N99" s="292">
        <f t="shared" si="15"/>
        <v>69.508746467641416</v>
      </c>
      <c r="O99" s="292">
        <f t="shared" si="16"/>
        <v>543.03708177844851</v>
      </c>
      <c r="P99" s="256">
        <v>77.696799999999996</v>
      </c>
      <c r="Q99" s="256">
        <f t="shared" si="17"/>
        <v>49.931649154465987</v>
      </c>
      <c r="R99" s="256">
        <v>20.277799999999999</v>
      </c>
      <c r="S99" s="285">
        <f t="shared" si="18"/>
        <v>13.031476138327839</v>
      </c>
      <c r="Y99" s="256" t="s">
        <v>284</v>
      </c>
      <c r="Z99" s="256">
        <v>10</v>
      </c>
      <c r="AA99" s="256">
        <v>10</v>
      </c>
    </row>
    <row r="100" spans="4:27" x14ac:dyDescent="0.25">
      <c r="D100" s="256" t="s">
        <v>267</v>
      </c>
      <c r="E100" s="287">
        <v>38904</v>
      </c>
      <c r="F100" s="256">
        <f>INDEX(ProcDataGenPre2012!$AT$9:$AT$30,MATCH(D100,ProcDataGenPre2012!$B$9:$B$30,0))</f>
        <v>0.6</v>
      </c>
      <c r="G100" s="256">
        <f>INDEX(ProcDataGenPre2012!$M$9:$M$30,MATCH(D100,ProcDataGenPre2012!$B$9:$B$30,0))</f>
        <v>30</v>
      </c>
      <c r="H100" s="297">
        <f t="shared" si="10"/>
        <v>8.3649631192199009E-2</v>
      </c>
      <c r="I100" s="296">
        <f t="shared" si="11"/>
        <v>1952.583151140786</v>
      </c>
      <c r="J100" s="282">
        <f t="shared" si="12"/>
        <v>605.59220180599334</v>
      </c>
      <c r="K100" s="292">
        <f t="shared" si="13"/>
        <v>12066.046460195863</v>
      </c>
      <c r="L100" s="256">
        <v>845</v>
      </c>
      <c r="M100" s="282">
        <f t="shared" si="14"/>
        <v>507</v>
      </c>
      <c r="N100" s="292">
        <f t="shared" si="15"/>
        <v>325.82224906706915</v>
      </c>
      <c r="O100" s="292">
        <f t="shared" si="16"/>
        <v>543.03708177844862</v>
      </c>
      <c r="P100" s="256">
        <v>258.98939999999999</v>
      </c>
      <c r="Q100" s="256">
        <f t="shared" si="17"/>
        <v>166.43887335804891</v>
      </c>
      <c r="R100" s="256">
        <v>20.277799999999999</v>
      </c>
      <c r="S100" s="285">
        <f t="shared" si="18"/>
        <v>13.031476138327839</v>
      </c>
      <c r="Y100" s="256" t="s">
        <v>265</v>
      </c>
      <c r="Z100" s="256">
        <v>10</v>
      </c>
      <c r="AA100" s="256">
        <v>10</v>
      </c>
    </row>
    <row r="101" spans="4:27" x14ac:dyDescent="0.25">
      <c r="D101" s="256" t="s">
        <v>282</v>
      </c>
      <c r="E101" s="287">
        <v>38904</v>
      </c>
      <c r="F101" s="256">
        <f>INDEX(ProcDataGenPre2012!$AT$9:$AT$30,MATCH(D101,ProcDataGenPre2012!$B$9:$B$30,0))</f>
        <v>3.51</v>
      </c>
      <c r="G101" s="256">
        <f>INDEX(ProcDataGenPre2012!$M$9:$M$30,MATCH(D101,ProcDataGenPre2012!$B$9:$B$30,0))</f>
        <v>30</v>
      </c>
      <c r="H101" s="297">
        <f t="shared" si="10"/>
        <v>8.3649631192199009E-2</v>
      </c>
      <c r="I101" s="296">
        <f t="shared" si="11"/>
        <v>11422.611434173597</v>
      </c>
      <c r="J101" s="282">
        <f t="shared" si="12"/>
        <v>3542.7143805650612</v>
      </c>
      <c r="K101" s="292">
        <f t="shared" si="13"/>
        <v>12066.046460195865</v>
      </c>
      <c r="L101" s="256">
        <v>845</v>
      </c>
      <c r="M101" s="282">
        <f t="shared" si="14"/>
        <v>2965.95</v>
      </c>
      <c r="N101" s="292">
        <f t="shared" si="15"/>
        <v>1906.0601570423544</v>
      </c>
      <c r="O101" s="292">
        <f t="shared" si="16"/>
        <v>543.03708177844862</v>
      </c>
      <c r="P101" s="256">
        <v>1584.6310000000001</v>
      </c>
      <c r="Q101" s="256">
        <f t="shared" si="17"/>
        <v>1018.3590460777099</v>
      </c>
      <c r="R101" s="256">
        <v>20.277799999999999</v>
      </c>
      <c r="S101" s="285">
        <f t="shared" si="18"/>
        <v>13.031476138327839</v>
      </c>
      <c r="Y101" s="256" t="s">
        <v>1264</v>
      </c>
      <c r="Z101" s="256">
        <v>10</v>
      </c>
      <c r="AA101" s="256">
        <v>10</v>
      </c>
    </row>
    <row r="102" spans="4:27" x14ac:dyDescent="0.25">
      <c r="D102" s="256" t="s">
        <v>272</v>
      </c>
      <c r="E102" s="287">
        <v>72780.3223</v>
      </c>
      <c r="F102" s="256">
        <f>INDEX(ProcDataGenPre2012!$AT$9:$AT$30,MATCH(D102,ProcDataGenPre2012!$B$9:$B$30,0))</f>
        <v>1.86</v>
      </c>
      <c r="G102" s="256">
        <f>INDEX(ProcDataGenPre2012!$M$9:$M$30,MATCH(D102,ProcDataGenPre2012!$B$9:$B$30,0))</f>
        <v>50</v>
      </c>
      <c r="H102" s="297">
        <f t="shared" si="10"/>
        <v>7.7287852981086286E-2</v>
      </c>
      <c r="I102" s="296">
        <f t="shared" si="11"/>
        <v>10462.564820699565</v>
      </c>
      <c r="J102" s="282">
        <f t="shared" si="12"/>
        <v>3244.9566424884783</v>
      </c>
      <c r="K102" s="292">
        <f t="shared" si="13"/>
        <v>22572.762447558838</v>
      </c>
      <c r="L102" s="256">
        <v>885</v>
      </c>
      <c r="M102" s="282">
        <f t="shared" si="14"/>
        <v>1646.1000000000001</v>
      </c>
      <c r="N102" s="292">
        <f t="shared" si="15"/>
        <v>1057.8619412017802</v>
      </c>
      <c r="O102" s="292">
        <f t="shared" si="16"/>
        <v>568.74297914074202</v>
      </c>
      <c r="P102" s="256">
        <v>0</v>
      </c>
      <c r="Q102" s="256">
        <f t="shared" si="17"/>
        <v>0</v>
      </c>
      <c r="R102" s="256">
        <v>0</v>
      </c>
      <c r="S102" s="285">
        <f t="shared" si="18"/>
        <v>0</v>
      </c>
      <c r="Y102" s="256" t="s">
        <v>1259</v>
      </c>
      <c r="AA102" s="256">
        <v>50</v>
      </c>
    </row>
    <row r="103" spans="4:27" x14ac:dyDescent="0.25">
      <c r="D103" s="256" t="s">
        <v>278</v>
      </c>
      <c r="E103" s="256">
        <v>8219.2000000000007</v>
      </c>
      <c r="F103" s="256">
        <f>INDEX(ProcDataGenPre2012!$AT$9:$AT$30,MATCH(D103,ProcDataGenPre2012!$B$9:$B$30,0))</f>
        <v>2.4</v>
      </c>
      <c r="G103" s="256">
        <f>INDEX(ProcDataGenPre2012!$M$9:$M$30,MATCH(D103,ProcDataGenPre2012!$B$9:$B$30,0))</f>
        <v>30</v>
      </c>
      <c r="H103" s="297">
        <f t="shared" si="10"/>
        <v>8.3649631192199009E-2</v>
      </c>
      <c r="I103" s="296">
        <f t="shared" si="11"/>
        <v>1650.0793168678131</v>
      </c>
      <c r="J103" s="282">
        <f t="shared" si="12"/>
        <v>511.77086418710888</v>
      </c>
      <c r="K103" s="292">
        <f t="shared" si="13"/>
        <v>2549.1787236695927</v>
      </c>
      <c r="L103" s="256">
        <v>147</v>
      </c>
      <c r="M103" s="282">
        <f t="shared" si="14"/>
        <v>352.8</v>
      </c>
      <c r="N103" s="292">
        <f t="shared" si="15"/>
        <v>226.72601473542801</v>
      </c>
      <c r="O103" s="292">
        <f t="shared" si="16"/>
        <v>94.469172806428347</v>
      </c>
      <c r="P103" s="256">
        <v>0</v>
      </c>
      <c r="Q103" s="256">
        <f t="shared" si="17"/>
        <v>0</v>
      </c>
      <c r="R103" s="256">
        <v>0</v>
      </c>
      <c r="S103" s="285">
        <f t="shared" si="18"/>
        <v>0</v>
      </c>
      <c r="Y103" s="256" t="s">
        <v>282</v>
      </c>
      <c r="Z103" s="256">
        <v>16</v>
      </c>
      <c r="AA103" s="256">
        <v>16</v>
      </c>
    </row>
    <row r="104" spans="4:27" x14ac:dyDescent="0.25">
      <c r="M104" s="282"/>
    </row>
    <row r="105" spans="4:27" x14ac:dyDescent="0.25">
      <c r="D105" s="256" t="s">
        <v>115</v>
      </c>
      <c r="I105" s="282">
        <f>SUM(I82:I103)</f>
        <v>136859.3308394484</v>
      </c>
      <c r="J105" s="282">
        <f>SUM(J82:J103)</f>
        <v>42446.818949724991</v>
      </c>
      <c r="M105" s="282">
        <f>SUM(M82:M103)+SUM(P82:P103)</f>
        <v>48897.980670000004</v>
      </c>
      <c r="N105" s="282">
        <f>SUM(N82:N103)+SUM(Q82:Q103)</f>
        <v>31424.161808160698</v>
      </c>
      <c r="P105" s="292">
        <f>SUM(N82:N104)</f>
        <v>21144.414453885849</v>
      </c>
      <c r="Q105" s="256">
        <f>SUM(Q82:Q104)</f>
        <v>10279.747354274848</v>
      </c>
    </row>
    <row r="106" spans="4:27" x14ac:dyDescent="0.25">
      <c r="D106" s="256" t="s">
        <v>512</v>
      </c>
      <c r="I106" s="282">
        <f>G7-J110</f>
        <v>42446.818949724991</v>
      </c>
      <c r="M106" s="282">
        <f>I12</f>
        <v>31424.161808160701</v>
      </c>
    </row>
    <row r="107" spans="4:27" x14ac:dyDescent="0.25">
      <c r="I107" s="256">
        <f>I106/I105</f>
        <v>0.31014925098179785</v>
      </c>
      <c r="M107" s="256">
        <f>M106/M105</f>
        <v>0.6426474340573356</v>
      </c>
    </row>
    <row r="109" spans="4:27" x14ac:dyDescent="0.25">
      <c r="J109" s="256" t="s">
        <v>1684</v>
      </c>
    </row>
    <row r="110" spans="4:27" x14ac:dyDescent="0.25">
      <c r="D110" s="256" t="s">
        <v>1249</v>
      </c>
      <c r="E110" s="256" t="s">
        <v>1099</v>
      </c>
      <c r="F110" s="256" t="s">
        <v>1099</v>
      </c>
      <c r="G110" s="256" t="s">
        <v>1099</v>
      </c>
      <c r="H110" s="256" t="s">
        <v>1099</v>
      </c>
      <c r="I110" s="256" t="s">
        <v>1099</v>
      </c>
      <c r="J110" s="256">
        <v>376.42410000000001</v>
      </c>
    </row>
    <row r="146" spans="5:12" x14ac:dyDescent="0.25">
      <c r="E146" s="256" t="s">
        <v>1380</v>
      </c>
      <c r="F146" s="256" t="s">
        <v>1099</v>
      </c>
      <c r="G146" s="256" t="s">
        <v>1099</v>
      </c>
      <c r="H146" s="256" t="s">
        <v>1099</v>
      </c>
      <c r="I146" s="256" t="s">
        <v>1099</v>
      </c>
      <c r="J146" s="256" t="s">
        <v>1099</v>
      </c>
      <c r="K146" s="256">
        <v>0</v>
      </c>
      <c r="L146" s="256">
        <v>4.4031000000000002</v>
      </c>
    </row>
    <row r="147" spans="5:12" x14ac:dyDescent="0.25">
      <c r="E147" s="256" t="s">
        <v>276</v>
      </c>
      <c r="F147" s="256" t="s">
        <v>1099</v>
      </c>
      <c r="G147" s="256" t="s">
        <v>1099</v>
      </c>
      <c r="H147" s="256" t="s">
        <v>1099</v>
      </c>
      <c r="I147" s="256" t="s">
        <v>1099</v>
      </c>
      <c r="J147" s="256" t="s">
        <v>1099</v>
      </c>
      <c r="K147" s="256">
        <v>0</v>
      </c>
      <c r="L147" s="256">
        <v>0</v>
      </c>
    </row>
    <row r="148" spans="5:12" x14ac:dyDescent="0.25">
      <c r="E148" s="256" t="s">
        <v>1378</v>
      </c>
      <c r="F148" s="256" t="s">
        <v>1099</v>
      </c>
      <c r="G148" s="256" t="s">
        <v>1099</v>
      </c>
      <c r="H148" s="256" t="s">
        <v>1099</v>
      </c>
      <c r="I148" s="256" t="s">
        <v>1099</v>
      </c>
      <c r="J148" s="256" t="s">
        <v>1099</v>
      </c>
      <c r="K148" s="256">
        <v>0</v>
      </c>
      <c r="L148" s="256">
        <v>4.4031000000000002</v>
      </c>
    </row>
    <row r="149" spans="5:12" x14ac:dyDescent="0.25">
      <c r="E149" s="256" t="s">
        <v>1376</v>
      </c>
      <c r="F149" s="256" t="s">
        <v>1099</v>
      </c>
      <c r="G149" s="256" t="s">
        <v>1099</v>
      </c>
      <c r="H149" s="256" t="s">
        <v>1099</v>
      </c>
      <c r="I149" s="256" t="s">
        <v>1099</v>
      </c>
      <c r="J149" s="256" t="s">
        <v>1099</v>
      </c>
      <c r="K149" s="256">
        <v>0</v>
      </c>
      <c r="L149" s="256">
        <v>0</v>
      </c>
    </row>
    <row r="150" spans="5:12" x14ac:dyDescent="0.25">
      <c r="E150" s="256" t="s">
        <v>238</v>
      </c>
      <c r="F150" s="256" t="s">
        <v>1099</v>
      </c>
      <c r="G150" s="256" t="s">
        <v>1099</v>
      </c>
      <c r="H150" s="256" t="s">
        <v>1099</v>
      </c>
      <c r="I150" s="256" t="s">
        <v>1099</v>
      </c>
      <c r="J150" s="256" t="s">
        <v>1099</v>
      </c>
      <c r="K150" s="256">
        <v>0</v>
      </c>
      <c r="L150" s="256">
        <v>0</v>
      </c>
    </row>
    <row r="151" spans="5:12" x14ac:dyDescent="0.25">
      <c r="E151" s="256" t="s">
        <v>1373</v>
      </c>
      <c r="F151" s="256" t="s">
        <v>1099</v>
      </c>
      <c r="G151" s="256" t="s">
        <v>1099</v>
      </c>
      <c r="H151" s="256" t="s">
        <v>1099</v>
      </c>
      <c r="I151" s="256" t="s">
        <v>1099</v>
      </c>
      <c r="J151" s="256" t="s">
        <v>1099</v>
      </c>
      <c r="K151" s="256">
        <v>0</v>
      </c>
      <c r="L151" s="256">
        <v>4.4031000000000002</v>
      </c>
    </row>
    <row r="152" spans="5:12" x14ac:dyDescent="0.25">
      <c r="E152" s="256" t="s">
        <v>274</v>
      </c>
      <c r="F152" s="256" t="s">
        <v>1099</v>
      </c>
      <c r="G152" s="256" t="s">
        <v>1099</v>
      </c>
      <c r="H152" s="256" t="s">
        <v>1099</v>
      </c>
      <c r="I152" s="256" t="s">
        <v>1099</v>
      </c>
      <c r="J152" s="256" t="s">
        <v>1099</v>
      </c>
      <c r="K152" s="256">
        <v>0</v>
      </c>
      <c r="L152" s="256">
        <v>0</v>
      </c>
    </row>
    <row r="153" spans="5:12" x14ac:dyDescent="0.25">
      <c r="E153" s="256" t="s">
        <v>1371</v>
      </c>
      <c r="F153" s="256" t="s">
        <v>1099</v>
      </c>
      <c r="G153" s="256" t="s">
        <v>1099</v>
      </c>
      <c r="H153" s="256" t="s">
        <v>1099</v>
      </c>
      <c r="I153" s="256" t="s">
        <v>1099</v>
      </c>
      <c r="J153" s="256" t="s">
        <v>1099</v>
      </c>
      <c r="K153" s="256">
        <v>0</v>
      </c>
      <c r="L153" s="256">
        <v>4.4031000000000002</v>
      </c>
    </row>
    <row r="154" spans="5:12" x14ac:dyDescent="0.25">
      <c r="E154" s="256" t="s">
        <v>1369</v>
      </c>
      <c r="F154" s="256" t="s">
        <v>1099</v>
      </c>
      <c r="G154" s="256" t="s">
        <v>1099</v>
      </c>
      <c r="H154" s="256" t="s">
        <v>1099</v>
      </c>
      <c r="I154" s="256" t="s">
        <v>1099</v>
      </c>
      <c r="J154" s="256" t="s">
        <v>1099</v>
      </c>
      <c r="K154" s="256">
        <v>0</v>
      </c>
      <c r="L154" s="256">
        <v>4.4031000000000002</v>
      </c>
    </row>
    <row r="155" spans="5:12" x14ac:dyDescent="0.25">
      <c r="E155" s="256" t="s">
        <v>1367</v>
      </c>
      <c r="F155" s="256" t="s">
        <v>1099</v>
      </c>
      <c r="G155" s="256" t="s">
        <v>1099</v>
      </c>
      <c r="H155" s="256" t="s">
        <v>1099</v>
      </c>
      <c r="I155" s="256" t="s">
        <v>1099</v>
      </c>
      <c r="J155" s="256" t="s">
        <v>1099</v>
      </c>
      <c r="K155" s="256">
        <v>0</v>
      </c>
      <c r="L155" s="256">
        <v>0</v>
      </c>
    </row>
    <row r="156" spans="5:12" x14ac:dyDescent="0.25">
      <c r="E156" s="256" t="s">
        <v>302</v>
      </c>
      <c r="F156" s="256" t="s">
        <v>1099</v>
      </c>
      <c r="G156" s="256" t="s">
        <v>1099</v>
      </c>
      <c r="H156" s="256" t="s">
        <v>1099</v>
      </c>
      <c r="I156" s="256" t="s">
        <v>1099</v>
      </c>
      <c r="J156" s="256" t="s">
        <v>1099</v>
      </c>
      <c r="K156" s="256">
        <v>0</v>
      </c>
      <c r="L156" s="256">
        <v>20.277799999999999</v>
      </c>
    </row>
    <row r="157" spans="5:12" x14ac:dyDescent="0.25">
      <c r="E157" s="256" t="s">
        <v>308</v>
      </c>
      <c r="F157" s="256" t="s">
        <v>1099</v>
      </c>
      <c r="G157" s="256" t="s">
        <v>1099</v>
      </c>
      <c r="H157" s="256" t="s">
        <v>1099</v>
      </c>
      <c r="I157" s="256" t="s">
        <v>1099</v>
      </c>
      <c r="J157" s="256" t="s">
        <v>1099</v>
      </c>
      <c r="K157" s="256">
        <v>0</v>
      </c>
      <c r="L157" s="256">
        <v>20.277799999999999</v>
      </c>
    </row>
    <row r="158" spans="5:12" x14ac:dyDescent="0.25">
      <c r="E158" s="256" t="s">
        <v>300</v>
      </c>
      <c r="F158" s="256" t="s">
        <v>1099</v>
      </c>
      <c r="G158" s="256" t="s">
        <v>1099</v>
      </c>
      <c r="H158" s="256" t="s">
        <v>1099</v>
      </c>
      <c r="I158" s="256" t="s">
        <v>1099</v>
      </c>
      <c r="J158" s="256" t="s">
        <v>1099</v>
      </c>
      <c r="K158" s="256">
        <v>0</v>
      </c>
      <c r="L158" s="256">
        <v>20.277799999999999</v>
      </c>
    </row>
    <row r="159" spans="5:12" x14ac:dyDescent="0.25">
      <c r="E159" s="256" t="s">
        <v>306</v>
      </c>
      <c r="F159" s="256" t="s">
        <v>1099</v>
      </c>
      <c r="G159" s="256" t="s">
        <v>1099</v>
      </c>
      <c r="H159" s="256" t="s">
        <v>1099</v>
      </c>
      <c r="I159" s="256" t="s">
        <v>1099</v>
      </c>
      <c r="J159" s="256" t="s">
        <v>1099</v>
      </c>
      <c r="K159" s="256">
        <v>0</v>
      </c>
      <c r="L159" s="256">
        <v>20.277799999999999</v>
      </c>
    </row>
    <row r="160" spans="5:12" x14ac:dyDescent="0.25">
      <c r="E160" s="256" t="s">
        <v>298</v>
      </c>
      <c r="F160" s="256" t="s">
        <v>1099</v>
      </c>
      <c r="G160" s="256" t="s">
        <v>1099</v>
      </c>
      <c r="H160" s="256" t="s">
        <v>1099</v>
      </c>
      <c r="I160" s="256" t="s">
        <v>1099</v>
      </c>
      <c r="J160" s="256" t="s">
        <v>1099</v>
      </c>
      <c r="K160" s="256">
        <v>0</v>
      </c>
      <c r="L160" s="256">
        <v>20.277799999999999</v>
      </c>
    </row>
    <row r="161" spans="5:12" x14ac:dyDescent="0.25">
      <c r="E161" s="256" t="s">
        <v>1282</v>
      </c>
      <c r="F161" s="256" t="s">
        <v>1099</v>
      </c>
      <c r="G161" s="256" t="s">
        <v>1099</v>
      </c>
      <c r="H161" s="256" t="s">
        <v>1099</v>
      </c>
      <c r="I161" s="256" t="s">
        <v>1099</v>
      </c>
      <c r="J161" s="256" t="s">
        <v>1099</v>
      </c>
      <c r="K161" s="256">
        <v>0</v>
      </c>
      <c r="L161" s="256">
        <v>20.277799999999999</v>
      </c>
    </row>
    <row r="162" spans="5:12" x14ac:dyDescent="0.25">
      <c r="E162" s="256" t="s">
        <v>280</v>
      </c>
      <c r="F162" s="256" t="s">
        <v>1099</v>
      </c>
      <c r="G162" s="256" t="s">
        <v>1099</v>
      </c>
      <c r="H162" s="256" t="s">
        <v>1099</v>
      </c>
      <c r="I162" s="256" t="s">
        <v>1099</v>
      </c>
      <c r="J162" s="256" t="s">
        <v>1099</v>
      </c>
      <c r="K162" s="256">
        <v>0</v>
      </c>
      <c r="L162" s="256">
        <v>20.277799999999999</v>
      </c>
    </row>
    <row r="163" spans="5:12" x14ac:dyDescent="0.25">
      <c r="E163" s="256" t="s">
        <v>296</v>
      </c>
      <c r="F163" s="256" t="s">
        <v>1099</v>
      </c>
      <c r="G163" s="256" t="s">
        <v>1099</v>
      </c>
      <c r="H163" s="256" t="s">
        <v>1099</v>
      </c>
      <c r="I163" s="256" t="s">
        <v>1099</v>
      </c>
      <c r="J163" s="256" t="s">
        <v>1099</v>
      </c>
      <c r="K163" s="256">
        <v>0</v>
      </c>
      <c r="L163" s="256">
        <v>20.277799999999999</v>
      </c>
    </row>
    <row r="164" spans="5:12" x14ac:dyDescent="0.25">
      <c r="E164" s="256" t="s">
        <v>304</v>
      </c>
      <c r="F164" s="256" t="s">
        <v>1099</v>
      </c>
      <c r="G164" s="256" t="s">
        <v>1099</v>
      </c>
      <c r="H164" s="256" t="s">
        <v>1099</v>
      </c>
      <c r="I164" s="256" t="s">
        <v>1099</v>
      </c>
      <c r="J164" s="256" t="s">
        <v>1099</v>
      </c>
      <c r="K164" s="256">
        <v>0</v>
      </c>
      <c r="L164" s="256">
        <v>20.277799999999999</v>
      </c>
    </row>
    <row r="165" spans="5:12" x14ac:dyDescent="0.25">
      <c r="E165" s="256" t="s">
        <v>294</v>
      </c>
      <c r="F165" s="256" t="s">
        <v>1099</v>
      </c>
      <c r="G165" s="256" t="s">
        <v>1099</v>
      </c>
      <c r="H165" s="256" t="s">
        <v>1099</v>
      </c>
      <c r="I165" s="256" t="s">
        <v>1099</v>
      </c>
      <c r="J165" s="256" t="s">
        <v>1099</v>
      </c>
      <c r="K165" s="256">
        <v>0</v>
      </c>
      <c r="L165" s="256">
        <v>20.277799999999999</v>
      </c>
    </row>
    <row r="166" spans="5:12" x14ac:dyDescent="0.25">
      <c r="E166" s="256" t="s">
        <v>292</v>
      </c>
      <c r="F166" s="256" t="s">
        <v>1099</v>
      </c>
      <c r="G166" s="256" t="s">
        <v>1099</v>
      </c>
      <c r="H166" s="256" t="s">
        <v>1099</v>
      </c>
      <c r="I166" s="256" t="s">
        <v>1099</v>
      </c>
      <c r="J166" s="256" t="s">
        <v>1099</v>
      </c>
      <c r="K166" s="256">
        <v>0</v>
      </c>
      <c r="L166" s="256">
        <v>20.277799999999999</v>
      </c>
    </row>
    <row r="167" spans="5:12" x14ac:dyDescent="0.25">
      <c r="E167" s="256" t="s">
        <v>290</v>
      </c>
      <c r="F167" s="256" t="s">
        <v>1099</v>
      </c>
      <c r="G167" s="256" t="s">
        <v>1099</v>
      </c>
      <c r="H167" s="256" t="s">
        <v>1099</v>
      </c>
      <c r="I167" s="256" t="s">
        <v>1099</v>
      </c>
      <c r="J167" s="256" t="s">
        <v>1099</v>
      </c>
      <c r="K167" s="256">
        <v>0</v>
      </c>
      <c r="L167" s="256">
        <v>20.277799999999999</v>
      </c>
    </row>
    <row r="168" spans="5:12" x14ac:dyDescent="0.25">
      <c r="E168" s="256" t="s">
        <v>288</v>
      </c>
      <c r="F168" s="256" t="s">
        <v>1099</v>
      </c>
      <c r="G168" s="256" t="s">
        <v>1099</v>
      </c>
      <c r="H168" s="256" t="s">
        <v>1099</v>
      </c>
      <c r="I168" s="256" t="s">
        <v>1099</v>
      </c>
      <c r="J168" s="256" t="s">
        <v>1099</v>
      </c>
      <c r="K168" s="256">
        <v>0</v>
      </c>
      <c r="L168" s="256">
        <v>20.277799999999999</v>
      </c>
    </row>
    <row r="169" spans="5:12" x14ac:dyDescent="0.25">
      <c r="E169" s="256" t="s">
        <v>286</v>
      </c>
      <c r="F169" s="256" t="s">
        <v>1099</v>
      </c>
      <c r="G169" s="256" t="s">
        <v>1099</v>
      </c>
      <c r="H169" s="256" t="s">
        <v>1099</v>
      </c>
      <c r="I169" s="256" t="s">
        <v>1099</v>
      </c>
      <c r="J169" s="256" t="s">
        <v>1099</v>
      </c>
      <c r="K169" s="256">
        <v>0</v>
      </c>
      <c r="L169" s="256">
        <v>20.277799999999999</v>
      </c>
    </row>
    <row r="170" spans="5:12" x14ac:dyDescent="0.25">
      <c r="E170" s="256" t="s">
        <v>284</v>
      </c>
      <c r="F170" s="256" t="s">
        <v>1099</v>
      </c>
      <c r="G170" s="256" t="s">
        <v>1099</v>
      </c>
      <c r="H170" s="256" t="s">
        <v>1099</v>
      </c>
      <c r="I170" s="256" t="s">
        <v>1099</v>
      </c>
      <c r="J170" s="256" t="s">
        <v>1099</v>
      </c>
      <c r="K170" s="256">
        <v>0</v>
      </c>
      <c r="L170" s="256">
        <v>20.277799999999999</v>
      </c>
    </row>
    <row r="171" spans="5:12" x14ac:dyDescent="0.25">
      <c r="E171" s="256" t="s">
        <v>265</v>
      </c>
      <c r="F171" s="256" t="s">
        <v>1099</v>
      </c>
      <c r="G171" s="256" t="s">
        <v>1099</v>
      </c>
      <c r="H171" s="256" t="s">
        <v>1099</v>
      </c>
      <c r="I171" s="256" t="s">
        <v>1099</v>
      </c>
      <c r="J171" s="256" t="s">
        <v>1099</v>
      </c>
      <c r="K171" s="256">
        <v>0</v>
      </c>
      <c r="L171" s="256">
        <v>20.277799999999999</v>
      </c>
    </row>
    <row r="172" spans="5:12" x14ac:dyDescent="0.25">
      <c r="E172" s="256" t="s">
        <v>267</v>
      </c>
      <c r="F172" s="256" t="s">
        <v>1099</v>
      </c>
      <c r="G172" s="256" t="s">
        <v>1099</v>
      </c>
      <c r="H172" s="256" t="s">
        <v>1099</v>
      </c>
      <c r="I172" s="256" t="s">
        <v>1099</v>
      </c>
      <c r="J172" s="256" t="s">
        <v>1099</v>
      </c>
      <c r="K172" s="256">
        <v>0</v>
      </c>
      <c r="L172" s="256">
        <v>20.277799999999999</v>
      </c>
    </row>
    <row r="173" spans="5:12" x14ac:dyDescent="0.25">
      <c r="E173" s="256" t="s">
        <v>1266</v>
      </c>
      <c r="F173" s="256" t="s">
        <v>1099</v>
      </c>
      <c r="G173" s="256" t="s">
        <v>1099</v>
      </c>
      <c r="H173" s="256" t="s">
        <v>1099</v>
      </c>
      <c r="I173" s="256" t="s">
        <v>1099</v>
      </c>
      <c r="J173" s="256" t="s">
        <v>1099</v>
      </c>
      <c r="K173" s="256">
        <v>0</v>
      </c>
      <c r="L173" s="256">
        <v>20.277799999999999</v>
      </c>
    </row>
    <row r="174" spans="5:12" x14ac:dyDescent="0.25">
      <c r="E174" s="256" t="s">
        <v>1264</v>
      </c>
      <c r="F174" s="256" t="s">
        <v>1099</v>
      </c>
      <c r="G174" s="256" t="s">
        <v>1099</v>
      </c>
      <c r="H174" s="256" t="s">
        <v>1099</v>
      </c>
      <c r="I174" s="256" t="s">
        <v>1099</v>
      </c>
      <c r="J174" s="256" t="s">
        <v>1099</v>
      </c>
      <c r="K174" s="256">
        <v>0</v>
      </c>
      <c r="L174" s="256">
        <v>20.277799999999999</v>
      </c>
    </row>
    <row r="175" spans="5:12" x14ac:dyDescent="0.25">
      <c r="E175" s="256" t="s">
        <v>282</v>
      </c>
      <c r="F175" s="256" t="s">
        <v>1099</v>
      </c>
      <c r="G175" s="256" t="s">
        <v>1099</v>
      </c>
      <c r="H175" s="256" t="s">
        <v>1099</v>
      </c>
      <c r="I175" s="256" t="s">
        <v>1099</v>
      </c>
      <c r="J175" s="256" t="s">
        <v>1099</v>
      </c>
      <c r="K175" s="256">
        <v>0</v>
      </c>
      <c r="L175" s="256">
        <v>20.277799999999999</v>
      </c>
    </row>
    <row r="176" spans="5:12" x14ac:dyDescent="0.25">
      <c r="E176" s="256" t="s">
        <v>1255</v>
      </c>
      <c r="F176" s="256" t="s">
        <v>1099</v>
      </c>
      <c r="G176" s="256" t="s">
        <v>1099</v>
      </c>
      <c r="H176" s="256" t="s">
        <v>1099</v>
      </c>
      <c r="I176" s="256" t="s">
        <v>1099</v>
      </c>
      <c r="J176" s="256" t="s">
        <v>1099</v>
      </c>
      <c r="K176" s="256">
        <v>0</v>
      </c>
      <c r="L176" s="256">
        <v>6.55</v>
      </c>
    </row>
    <row r="177" spans="5:17" x14ac:dyDescent="0.25">
      <c r="E177" s="256" t="s">
        <v>1253</v>
      </c>
      <c r="F177" s="256" t="s">
        <v>1099</v>
      </c>
      <c r="G177" s="256" t="s">
        <v>1099</v>
      </c>
      <c r="H177" s="256" t="s">
        <v>1099</v>
      </c>
      <c r="I177" s="256" t="s">
        <v>1099</v>
      </c>
      <c r="J177" s="256" t="s">
        <v>1099</v>
      </c>
      <c r="K177" s="256">
        <v>0</v>
      </c>
      <c r="L177" s="256">
        <v>2.8018999999999998</v>
      </c>
    </row>
    <row r="178" spans="5:17" x14ac:dyDescent="0.25">
      <c r="E178" s="256" t="s">
        <v>1236</v>
      </c>
      <c r="F178" s="256" t="s">
        <v>1099</v>
      </c>
      <c r="G178" s="256" t="s">
        <v>1099</v>
      </c>
      <c r="H178" s="256" t="s">
        <v>1099</v>
      </c>
      <c r="I178" s="256" t="s">
        <v>1099</v>
      </c>
      <c r="J178" s="256" t="s">
        <v>1099</v>
      </c>
      <c r="K178" s="256">
        <v>0</v>
      </c>
      <c r="L178" s="256">
        <v>0</v>
      </c>
    </row>
    <row r="179" spans="5:17" x14ac:dyDescent="0.25">
      <c r="E179" s="256" t="s">
        <v>272</v>
      </c>
      <c r="F179" s="256" t="s">
        <v>1099</v>
      </c>
      <c r="G179" s="256" t="s">
        <v>1099</v>
      </c>
      <c r="H179" s="256" t="s">
        <v>1099</v>
      </c>
      <c r="I179" s="256" t="s">
        <v>1099</v>
      </c>
      <c r="J179" s="256" t="s">
        <v>1099</v>
      </c>
      <c r="K179" s="256">
        <v>0</v>
      </c>
      <c r="L179" s="256">
        <v>0</v>
      </c>
    </row>
    <row r="180" spans="5:17" x14ac:dyDescent="0.25">
      <c r="E180" s="256" t="s">
        <v>278</v>
      </c>
      <c r="F180" s="256" t="s">
        <v>1099</v>
      </c>
      <c r="G180" s="256" t="s">
        <v>1099</v>
      </c>
      <c r="H180" s="256" t="s">
        <v>1099</v>
      </c>
      <c r="I180" s="256" t="s">
        <v>1099</v>
      </c>
      <c r="J180" s="256" t="s">
        <v>1099</v>
      </c>
      <c r="K180" s="256">
        <v>0</v>
      </c>
      <c r="L180" s="256">
        <v>0</v>
      </c>
    </row>
    <row r="182" spans="5:17" x14ac:dyDescent="0.25">
      <c r="Q182" s="256" t="s">
        <v>1683</v>
      </c>
    </row>
    <row r="183" spans="5:17" x14ac:dyDescent="0.25">
      <c r="Q183" s="256">
        <v>2012</v>
      </c>
    </row>
    <row r="184" spans="5:17" x14ac:dyDescent="0.25">
      <c r="O184" s="256" t="s">
        <v>135</v>
      </c>
      <c r="P184" s="256" t="s">
        <v>302</v>
      </c>
      <c r="Q184" s="256">
        <v>2.2200000000000002</v>
      </c>
    </row>
    <row r="185" spans="5:17" x14ac:dyDescent="0.25">
      <c r="O185" s="256" t="s">
        <v>135</v>
      </c>
      <c r="P185" s="256" t="s">
        <v>308</v>
      </c>
      <c r="Q185" s="256">
        <v>1.52</v>
      </c>
    </row>
    <row r="186" spans="5:17" x14ac:dyDescent="0.25">
      <c r="O186" s="256" t="s">
        <v>135</v>
      </c>
      <c r="P186" s="256" t="s">
        <v>300</v>
      </c>
      <c r="Q186" s="256">
        <v>3.48</v>
      </c>
    </row>
    <row r="187" spans="5:17" x14ac:dyDescent="0.25">
      <c r="O187" s="256" t="s">
        <v>135</v>
      </c>
      <c r="P187" s="256" t="s">
        <v>306</v>
      </c>
      <c r="Q187" s="256">
        <v>1.08</v>
      </c>
    </row>
    <row r="188" spans="5:17" x14ac:dyDescent="0.25">
      <c r="O188" s="256" t="s">
        <v>135</v>
      </c>
      <c r="P188" s="256" t="s">
        <v>298</v>
      </c>
      <c r="Q188" s="256">
        <v>1.9</v>
      </c>
    </row>
    <row r="189" spans="5:17" x14ac:dyDescent="0.25">
      <c r="O189" s="256" t="s">
        <v>135</v>
      </c>
      <c r="P189" s="256" t="s">
        <v>1282</v>
      </c>
      <c r="Q189" s="256" t="s">
        <v>1682</v>
      </c>
    </row>
    <row r="190" spans="5:17" x14ac:dyDescent="0.25">
      <c r="O190" s="256" t="s">
        <v>135</v>
      </c>
      <c r="P190" s="256" t="s">
        <v>280</v>
      </c>
      <c r="Q190" s="256">
        <v>0.16</v>
      </c>
    </row>
    <row r="191" spans="5:17" x14ac:dyDescent="0.25">
      <c r="O191" s="256" t="s">
        <v>135</v>
      </c>
      <c r="P191" s="256" t="s">
        <v>296</v>
      </c>
      <c r="Q191" s="256">
        <v>3.84</v>
      </c>
    </row>
    <row r="192" spans="5:17" x14ac:dyDescent="0.25">
      <c r="O192" s="256" t="s">
        <v>135</v>
      </c>
      <c r="P192" s="256" t="s">
        <v>304</v>
      </c>
      <c r="Q192" s="256">
        <v>0.8</v>
      </c>
    </row>
    <row r="193" spans="15:17" x14ac:dyDescent="0.25">
      <c r="O193" s="256" t="s">
        <v>135</v>
      </c>
      <c r="P193" s="256" t="s">
        <v>294</v>
      </c>
      <c r="Q193" s="256">
        <v>2.88</v>
      </c>
    </row>
    <row r="194" spans="15:17" x14ac:dyDescent="0.25">
      <c r="O194" s="256" t="s">
        <v>135</v>
      </c>
      <c r="P194" s="256" t="s">
        <v>292</v>
      </c>
      <c r="Q194" s="256">
        <v>3.54</v>
      </c>
    </row>
    <row r="195" spans="15:17" x14ac:dyDescent="0.25">
      <c r="O195" s="256" t="s">
        <v>135</v>
      </c>
      <c r="P195" s="256" t="s">
        <v>290</v>
      </c>
      <c r="Q195" s="256">
        <v>1.83</v>
      </c>
    </row>
    <row r="196" spans="15:17" x14ac:dyDescent="0.25">
      <c r="O196" s="256" t="s">
        <v>135</v>
      </c>
      <c r="P196" s="256" t="s">
        <v>288</v>
      </c>
      <c r="Q196" s="256">
        <v>2.0099999999999998</v>
      </c>
    </row>
    <row r="197" spans="15:17" x14ac:dyDescent="0.25">
      <c r="O197" s="256" t="s">
        <v>135</v>
      </c>
      <c r="P197" s="256" t="s">
        <v>286</v>
      </c>
      <c r="Q197" s="256">
        <v>3.72</v>
      </c>
    </row>
    <row r="198" spans="15:17" x14ac:dyDescent="0.25">
      <c r="O198" s="256" t="s">
        <v>135</v>
      </c>
      <c r="P198" s="256" t="s">
        <v>284</v>
      </c>
      <c r="Q198" s="256">
        <v>3.48</v>
      </c>
    </row>
    <row r="199" spans="15:17" x14ac:dyDescent="0.25">
      <c r="O199" s="256" t="s">
        <v>135</v>
      </c>
      <c r="P199" s="256" t="s">
        <v>265</v>
      </c>
      <c r="Q199" s="256">
        <v>0.15</v>
      </c>
    </row>
    <row r="200" spans="15:17" x14ac:dyDescent="0.25">
      <c r="O200" s="256" t="s">
        <v>135</v>
      </c>
      <c r="P200" s="256" t="s">
        <v>267</v>
      </c>
      <c r="Q200" s="256">
        <v>0.5</v>
      </c>
    </row>
    <row r="201" spans="15:17" x14ac:dyDescent="0.25">
      <c r="O201" s="256" t="s">
        <v>135</v>
      </c>
      <c r="P201" s="256" t="s">
        <v>1266</v>
      </c>
      <c r="Q201" s="256">
        <v>0.09</v>
      </c>
    </row>
    <row r="202" spans="15:17" x14ac:dyDescent="0.25">
      <c r="O202" s="256" t="s">
        <v>135</v>
      </c>
      <c r="P202" s="256" t="s">
        <v>1264</v>
      </c>
      <c r="Q202" s="256">
        <v>0.18</v>
      </c>
    </row>
    <row r="203" spans="15:17" x14ac:dyDescent="0.25">
      <c r="O203" s="256" t="s">
        <v>135</v>
      </c>
      <c r="P203" s="256" t="s">
        <v>282</v>
      </c>
      <c r="Q203" s="256">
        <v>3.54</v>
      </c>
    </row>
    <row r="210" spans="15:17" x14ac:dyDescent="0.25">
      <c r="P210" s="256">
        <v>2011</v>
      </c>
      <c r="Q210" s="256">
        <v>2012</v>
      </c>
    </row>
    <row r="211" spans="15:17" x14ac:dyDescent="0.25">
      <c r="O211" s="256" t="s">
        <v>252</v>
      </c>
      <c r="Q211" s="256">
        <v>30</v>
      </c>
    </row>
    <row r="212" spans="15:17" x14ac:dyDescent="0.25">
      <c r="O212" s="256" t="s">
        <v>302</v>
      </c>
      <c r="P212" s="256">
        <v>10</v>
      </c>
      <c r="Q212" s="256">
        <v>10</v>
      </c>
    </row>
    <row r="213" spans="15:17" x14ac:dyDescent="0.25">
      <c r="O213" s="256" t="s">
        <v>308</v>
      </c>
      <c r="P213" s="256">
        <v>10</v>
      </c>
      <c r="Q213" s="256">
        <v>10</v>
      </c>
    </row>
    <row r="214" spans="15:17" x14ac:dyDescent="0.25">
      <c r="O214" s="256" t="s">
        <v>300</v>
      </c>
      <c r="P214" s="256">
        <v>9</v>
      </c>
      <c r="Q214" s="256">
        <v>9</v>
      </c>
    </row>
    <row r="215" spans="15:17" x14ac:dyDescent="0.25">
      <c r="O215" s="256" t="s">
        <v>306</v>
      </c>
      <c r="P215" s="256">
        <v>10</v>
      </c>
      <c r="Q215" s="256">
        <v>10</v>
      </c>
    </row>
    <row r="216" spans="15:17" x14ac:dyDescent="0.25">
      <c r="O216" s="256" t="s">
        <v>298</v>
      </c>
      <c r="P216" s="256">
        <v>10</v>
      </c>
      <c r="Q216" s="256">
        <v>10</v>
      </c>
    </row>
    <row r="217" spans="15:17" x14ac:dyDescent="0.25">
      <c r="O217" s="256" t="s">
        <v>1284</v>
      </c>
      <c r="Q217" s="256">
        <v>30</v>
      </c>
    </row>
    <row r="218" spans="15:17" x14ac:dyDescent="0.25">
      <c r="O218" s="256" t="s">
        <v>1282</v>
      </c>
      <c r="Q218" s="256">
        <v>10</v>
      </c>
    </row>
    <row r="219" spans="15:17" x14ac:dyDescent="0.25">
      <c r="O219" s="256" t="s">
        <v>280</v>
      </c>
      <c r="P219" s="256">
        <v>10</v>
      </c>
      <c r="Q219" s="256">
        <v>10</v>
      </c>
    </row>
    <row r="220" spans="15:17" x14ac:dyDescent="0.25">
      <c r="O220" s="256" t="s">
        <v>296</v>
      </c>
      <c r="P220" s="256">
        <v>16</v>
      </c>
      <c r="Q220" s="256">
        <v>16</v>
      </c>
    </row>
    <row r="221" spans="15:17" x14ac:dyDescent="0.25">
      <c r="O221" s="256" t="s">
        <v>304</v>
      </c>
      <c r="P221" s="256">
        <v>10</v>
      </c>
      <c r="Q221" s="256">
        <v>10</v>
      </c>
    </row>
    <row r="222" spans="15:17" x14ac:dyDescent="0.25">
      <c r="O222" s="256" t="s">
        <v>294</v>
      </c>
      <c r="P222" s="256">
        <v>10</v>
      </c>
      <c r="Q222" s="256">
        <v>10</v>
      </c>
    </row>
    <row r="223" spans="15:17" x14ac:dyDescent="0.25">
      <c r="O223" s="256" t="s">
        <v>292</v>
      </c>
      <c r="P223" s="256">
        <v>15</v>
      </c>
      <c r="Q223" s="256">
        <v>15</v>
      </c>
    </row>
    <row r="224" spans="15:17" x14ac:dyDescent="0.25">
      <c r="O224" s="256" t="s">
        <v>290</v>
      </c>
      <c r="P224" s="256">
        <v>22</v>
      </c>
      <c r="Q224" s="256">
        <v>22</v>
      </c>
    </row>
    <row r="225" spans="15:17" x14ac:dyDescent="0.25">
      <c r="O225" s="256" t="s">
        <v>288</v>
      </c>
      <c r="P225" s="256">
        <v>25</v>
      </c>
      <c r="Q225" s="256">
        <v>25</v>
      </c>
    </row>
    <row r="226" spans="15:17" x14ac:dyDescent="0.25">
      <c r="O226" s="256" t="s">
        <v>284</v>
      </c>
      <c r="P226" s="256">
        <v>10</v>
      </c>
      <c r="Q226" s="256">
        <v>10</v>
      </c>
    </row>
    <row r="227" spans="15:17" x14ac:dyDescent="0.25">
      <c r="O227" s="256" t="s">
        <v>265</v>
      </c>
      <c r="P227" s="256">
        <v>10</v>
      </c>
      <c r="Q227" s="256">
        <v>10</v>
      </c>
    </row>
    <row r="228" spans="15:17" x14ac:dyDescent="0.25">
      <c r="O228" s="256" t="s">
        <v>267</v>
      </c>
      <c r="P228" s="256">
        <v>10</v>
      </c>
      <c r="Q228" s="256">
        <v>10</v>
      </c>
    </row>
    <row r="229" spans="15:17" x14ac:dyDescent="0.25">
      <c r="O229" s="256" t="s">
        <v>1266</v>
      </c>
      <c r="P229" s="256">
        <v>10</v>
      </c>
      <c r="Q229" s="256">
        <v>10</v>
      </c>
    </row>
    <row r="230" spans="15:17" x14ac:dyDescent="0.25">
      <c r="O230" s="256" t="s">
        <v>1264</v>
      </c>
      <c r="P230" s="256">
        <v>10</v>
      </c>
      <c r="Q230" s="256">
        <v>10</v>
      </c>
    </row>
    <row r="231" spans="15:17" x14ac:dyDescent="0.25">
      <c r="O231" s="256" t="s">
        <v>1259</v>
      </c>
      <c r="Q231" s="256">
        <v>50</v>
      </c>
    </row>
    <row r="232" spans="15:17" x14ac:dyDescent="0.25">
      <c r="O232" s="256" t="s">
        <v>282</v>
      </c>
      <c r="P232" s="256">
        <v>16</v>
      </c>
      <c r="Q232" s="256">
        <v>16</v>
      </c>
    </row>
    <row r="233" spans="15:17" x14ac:dyDescent="0.25">
      <c r="O233" s="256" t="s">
        <v>1271</v>
      </c>
      <c r="Q233" s="256">
        <v>50</v>
      </c>
    </row>
    <row r="234" spans="15:17" x14ac:dyDescent="0.25">
      <c r="O234" s="256" t="s">
        <v>1270</v>
      </c>
      <c r="P234" s="256">
        <v>16</v>
      </c>
      <c r="Q234" s="256">
        <v>16</v>
      </c>
    </row>
    <row r="235" spans="15:17" x14ac:dyDescent="0.25">
      <c r="O235" s="256" t="s">
        <v>286</v>
      </c>
      <c r="Q235" s="256">
        <v>50</v>
      </c>
    </row>
  </sheetData>
  <pageMargins left="0.7" right="0.7" top="0.75" bottom="0.75" header="0.3" footer="0.3"/>
  <pageSetup paperSize="9" orientation="portrait" r:id="rId1"/>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C8D4-E378-4942-B290-7B7EF0C5B32E}">
  <sheetPr codeName="Sheet26">
    <tabColor theme="5" tint="-0.249977111117893"/>
  </sheetPr>
  <dimension ref="A1:AF33"/>
  <sheetViews>
    <sheetView workbookViewId="0"/>
  </sheetViews>
  <sheetFormatPr defaultColWidth="13.140625" defaultRowHeight="12.75" x14ac:dyDescent="0.2"/>
  <cols>
    <col min="1" max="1" width="14.7109375" style="29" customWidth="1"/>
    <col min="2" max="2" width="8" style="29" customWidth="1"/>
    <col min="3" max="21" width="6.28515625" style="29" customWidth="1"/>
    <col min="22" max="22" width="8" style="29" customWidth="1"/>
    <col min="23" max="23" width="7.42578125" style="29" customWidth="1"/>
    <col min="24" max="25" width="8.42578125" style="29" customWidth="1"/>
    <col min="26" max="16384" width="13.140625" style="29"/>
  </cols>
  <sheetData>
    <row r="1" spans="1:32" ht="15.75" customHeight="1" x14ac:dyDescent="0.2">
      <c r="A1" s="306" t="s">
        <v>1739</v>
      </c>
      <c r="B1" s="306">
        <v>1996</v>
      </c>
      <c r="C1" s="306">
        <v>1997</v>
      </c>
      <c r="D1" s="306">
        <v>1998</v>
      </c>
      <c r="E1" s="306">
        <v>1999</v>
      </c>
      <c r="F1" s="306">
        <v>2000</v>
      </c>
      <c r="G1" s="306">
        <v>2001</v>
      </c>
      <c r="H1" s="306">
        <v>2002</v>
      </c>
      <c r="I1" s="306">
        <v>2003</v>
      </c>
      <c r="J1" s="306">
        <v>2004</v>
      </c>
      <c r="K1" s="306">
        <v>2005</v>
      </c>
      <c r="L1" s="306">
        <v>2006</v>
      </c>
      <c r="M1" s="306">
        <v>2007</v>
      </c>
      <c r="N1" s="306">
        <v>2008</v>
      </c>
      <c r="O1" s="306">
        <v>2009</v>
      </c>
      <c r="P1" s="306">
        <v>2010</v>
      </c>
      <c r="Q1" s="306">
        <v>2011</v>
      </c>
      <c r="R1" s="306">
        <v>2012</v>
      </c>
      <c r="S1" s="306">
        <v>2013</v>
      </c>
      <c r="T1" s="306">
        <v>2014</v>
      </c>
      <c r="U1" s="306">
        <v>2015</v>
      </c>
      <c r="V1" s="306">
        <v>2016</v>
      </c>
      <c r="W1" s="322">
        <v>2017</v>
      </c>
      <c r="X1" s="322">
        <v>2018</v>
      </c>
      <c r="Y1" s="322">
        <v>2019</v>
      </c>
      <c r="Z1" s="29">
        <v>2020</v>
      </c>
      <c r="AA1" s="29">
        <v>2021</v>
      </c>
      <c r="AB1" s="29">
        <v>2022</v>
      </c>
      <c r="AC1" s="29">
        <v>2023</v>
      </c>
      <c r="AD1" s="29">
        <v>2024</v>
      </c>
      <c r="AE1" s="29">
        <v>2025</v>
      </c>
      <c r="AF1" s="42" t="s">
        <v>1754</v>
      </c>
    </row>
    <row r="2" spans="1:32" ht="15.75" customHeight="1" x14ac:dyDescent="0.2">
      <c r="A2" s="305" t="s">
        <v>1738</v>
      </c>
      <c r="B2" s="304">
        <v>7.9057626177225204</v>
      </c>
      <c r="C2" s="304">
        <v>7.9871533674518798</v>
      </c>
      <c r="D2" s="304">
        <v>7.7873391569621004</v>
      </c>
      <c r="E2" s="304">
        <v>7.0278247472558499</v>
      </c>
      <c r="F2" s="304">
        <v>8.7963222595021993</v>
      </c>
      <c r="G2" s="304">
        <v>7.6417362147513304</v>
      </c>
      <c r="H2" s="304">
        <v>12.205405688193901</v>
      </c>
      <c r="I2" s="304">
        <v>5.7936025975283902</v>
      </c>
      <c r="J2" s="304">
        <v>6.5271139772024496</v>
      </c>
      <c r="K2" s="304">
        <v>5.4490666230227598</v>
      </c>
      <c r="L2" s="304">
        <v>6.2741537708994999</v>
      </c>
      <c r="M2" s="304">
        <v>8.8492898126298094</v>
      </c>
      <c r="N2" s="304">
        <v>8.8315688644124695</v>
      </c>
      <c r="O2" s="304">
        <v>7.5045113457487203</v>
      </c>
      <c r="P2" s="304">
        <v>6.3510267905241404</v>
      </c>
      <c r="Q2" s="304">
        <v>6.6517827868979502</v>
      </c>
      <c r="R2" s="304">
        <v>5.5122264718124399</v>
      </c>
      <c r="S2" s="304">
        <v>5.9856351455896997</v>
      </c>
      <c r="T2" s="304">
        <v>5.79552879780148</v>
      </c>
      <c r="U2" s="304">
        <v>4.5454545454545414</v>
      </c>
      <c r="V2" s="304">
        <v>6.3405797101449224</v>
      </c>
      <c r="W2" s="321">
        <v>5.2725724020443065</v>
      </c>
      <c r="X2" s="321">
        <v>4.6201148960271832</v>
      </c>
      <c r="Y2" s="321">
        <v>4.1299303944315469</v>
      </c>
    </row>
    <row r="3" spans="1:32" ht="15.75" customHeight="1" x14ac:dyDescent="0.2">
      <c r="A3" s="320">
        <f>B12</f>
        <v>2015</v>
      </c>
      <c r="B3" s="308">
        <f t="shared" ref="B3:S3" si="0">IF(B1=$A$3,1,IF(B1&lt;$A3,C3/(1+C2/100),A3*(B2/100+1)))</f>
        <v>0.27072325050979379</v>
      </c>
      <c r="C3" s="308">
        <f t="shared" si="0"/>
        <v>0.29234633172936197</v>
      </c>
      <c r="D3" s="308">
        <f t="shared" si="0"/>
        <v>0.31511233209406492</v>
      </c>
      <c r="E3" s="308">
        <f t="shared" si="0"/>
        <v>0.33725787455062667</v>
      </c>
      <c r="F3" s="308">
        <f t="shared" si="0"/>
        <v>0.36692416404164746</v>
      </c>
      <c r="G3" s="308">
        <f t="shared" si="0"/>
        <v>0.39496354076589157</v>
      </c>
      <c r="H3" s="308">
        <f t="shared" si="0"/>
        <v>0.44317044323682375</v>
      </c>
      <c r="I3" s="308">
        <f t="shared" si="0"/>
        <v>0.46884597754767043</v>
      </c>
      <c r="J3" s="308">
        <f t="shared" si="0"/>
        <v>0.49944808887973591</v>
      </c>
      <c r="K3" s="308">
        <f t="shared" si="0"/>
        <v>0.52666334799020664</v>
      </c>
      <c r="L3" s="308">
        <f t="shared" si="0"/>
        <v>0.55970701629807973</v>
      </c>
      <c r="M3" s="308">
        <f t="shared" si="0"/>
        <v>0.6092371122719199</v>
      </c>
      <c r="N3" s="308">
        <f t="shared" si="0"/>
        <v>0.66304230738977243</v>
      </c>
      <c r="O3" s="308">
        <f t="shared" si="0"/>
        <v>0.71280039257495198</v>
      </c>
      <c r="P3" s="308">
        <f t="shared" si="0"/>
        <v>0.7580705364703485</v>
      </c>
      <c r="Q3" s="308">
        <f t="shared" si="0"/>
        <v>0.80849574192782814</v>
      </c>
      <c r="R3" s="308">
        <f t="shared" si="0"/>
        <v>0.8530618582378503</v>
      </c>
      <c r="S3" s="308">
        <f t="shared" si="0"/>
        <v>0.90412302863815563</v>
      </c>
      <c r="T3" s="308">
        <f t="shared" ref="T3" si="1">IF(T1=$A$3,1,IF(T1&lt;$A3,U3/(1+U2/100),S3*(T2/100+1)))</f>
        <v>0.95652173913043481</v>
      </c>
      <c r="U3" s="308">
        <f t="shared" ref="U3" si="2">IF(U1=$A$3,1,IF(U1&lt;$A3,V3/(1+V2/100),T3*(U2/100+1)))</f>
        <v>1</v>
      </c>
      <c r="V3" s="308">
        <f t="shared" ref="V3" si="3">IF(V1=$A$3,1,IF(V1&lt;$A3,W3/(1+W2/100),U3*(V2/100+1)))</f>
        <v>1.0634057971014492</v>
      </c>
      <c r="W3" s="308">
        <f t="shared" ref="W3" si="4">IF(W1=$A$3,1,IF(W1&lt;$A3,X3/(1+X2/100),V3*(W2/100+1)))</f>
        <v>1.1194746376811595</v>
      </c>
      <c r="X3" s="308">
        <f t="shared" ref="X3" si="5">IF(X1=$A$3,1,IF(X1&lt;$A3,Y3/(1+Y2/100),W3*(X2/100+1)))</f>
        <v>1.1711956521739131</v>
      </c>
      <c r="Y3" s="308">
        <f t="shared" ref="Y3" si="6">IF(Y1=$A$3,1,IF(Y1&lt;$A3,Z3/(1+Z2/100),X3*(Y2/100+1)))</f>
        <v>1.2195652173913043</v>
      </c>
      <c r="Z3" s="360">
        <f>1/Z4</f>
        <v>1.2594458438287153</v>
      </c>
      <c r="AA3" s="361">
        <v>1.3120000000000001</v>
      </c>
      <c r="AB3" s="29">
        <v>1.4059999999999999</v>
      </c>
    </row>
    <row r="4" spans="1:32" ht="15.75" customHeight="1" x14ac:dyDescent="0.2">
      <c r="A4" s="319" t="s">
        <v>1741</v>
      </c>
      <c r="B4" s="318">
        <f t="shared" ref="B4:Y4" si="7">1/B3</f>
        <v>3.6938090766748668</v>
      </c>
      <c r="C4" s="318">
        <f t="shared" si="7"/>
        <v>3.4206004709706588</v>
      </c>
      <c r="D4" s="318">
        <f t="shared" si="7"/>
        <v>3.1734714835009621</v>
      </c>
      <c r="E4" s="318">
        <f t="shared" si="7"/>
        <v>2.9650901445442375</v>
      </c>
      <c r="F4" s="318">
        <f t="shared" si="7"/>
        <v>2.7253588016255472</v>
      </c>
      <c r="G4" s="318">
        <f t="shared" si="7"/>
        <v>2.5318792667820809</v>
      </c>
      <c r="H4" s="318">
        <f t="shared" si="7"/>
        <v>2.2564681721466129</v>
      </c>
      <c r="I4" s="318">
        <f t="shared" si="7"/>
        <v>2.1328966182680409</v>
      </c>
      <c r="J4" s="318">
        <f t="shared" si="7"/>
        <v>2.0022100840209522</v>
      </c>
      <c r="K4" s="318">
        <f t="shared" si="7"/>
        <v>1.8987461417546663</v>
      </c>
      <c r="L4" s="318">
        <f t="shared" si="7"/>
        <v>1.7866490340143175</v>
      </c>
      <c r="M4" s="318">
        <f t="shared" si="7"/>
        <v>1.6413970519144465</v>
      </c>
      <c r="N4" s="318">
        <f t="shared" si="7"/>
        <v>1.5081993846467259</v>
      </c>
      <c r="O4" s="318">
        <f t="shared" si="7"/>
        <v>1.4029172969273422</v>
      </c>
      <c r="P4" s="318">
        <f t="shared" si="7"/>
        <v>1.3191384599328964</v>
      </c>
      <c r="Q4" s="318">
        <f t="shared" si="7"/>
        <v>1.2368648938280578</v>
      </c>
      <c r="R4" s="318">
        <f t="shared" si="7"/>
        <v>1.1722479329525719</v>
      </c>
      <c r="S4" s="318">
        <f t="shared" si="7"/>
        <v>1.106044164704288</v>
      </c>
      <c r="T4" s="318">
        <f t="shared" si="7"/>
        <v>1.0454545454545454</v>
      </c>
      <c r="U4" s="317">
        <f t="shared" si="7"/>
        <v>1</v>
      </c>
      <c r="V4" s="317">
        <f t="shared" si="7"/>
        <v>0.94037478705281097</v>
      </c>
      <c r="W4" s="316">
        <f t="shared" si="7"/>
        <v>0.89327615502872393</v>
      </c>
      <c r="X4" s="316">
        <f t="shared" si="7"/>
        <v>0.85382830626450112</v>
      </c>
      <c r="Y4" s="316">
        <f t="shared" si="7"/>
        <v>0.81996434937611407</v>
      </c>
      <c r="Z4" s="29">
        <v>0.79400000000000004</v>
      </c>
      <c r="AA4" s="29">
        <f>1/AA3</f>
        <v>0.76219512195121952</v>
      </c>
    </row>
    <row r="5" spans="1:32" x14ac:dyDescent="0.2">
      <c r="A5" s="29" t="s">
        <v>1753</v>
      </c>
      <c r="W5" s="29" t="s">
        <v>2508</v>
      </c>
      <c r="Y5" s="29">
        <f>AB3/Y3</f>
        <v>1.1528698752228164</v>
      </c>
    </row>
    <row r="6" spans="1:32" x14ac:dyDescent="0.2">
      <c r="A6" s="315" t="s">
        <v>1752</v>
      </c>
      <c r="AB6" s="29">
        <f>AB3/Y3</f>
        <v>1.1528698752228164</v>
      </c>
    </row>
    <row r="7" spans="1:32" x14ac:dyDescent="0.2">
      <c r="A7" s="29" t="s">
        <v>1751</v>
      </c>
    </row>
    <row r="9" spans="1:32" x14ac:dyDescent="0.2">
      <c r="A9" s="29" t="s">
        <v>1750</v>
      </c>
    </row>
    <row r="10" spans="1:32" ht="15" x14ac:dyDescent="0.25">
      <c r="B10" s="314">
        <v>2017</v>
      </c>
      <c r="C10" s="29" t="s">
        <v>1748</v>
      </c>
    </row>
    <row r="11" spans="1:32" x14ac:dyDescent="0.2">
      <c r="A11" s="29" t="s">
        <v>1749</v>
      </c>
    </row>
    <row r="12" spans="1:32" ht="15" x14ac:dyDescent="0.25">
      <c r="B12" s="313">
        <v>2015</v>
      </c>
      <c r="C12" s="29" t="s">
        <v>1748</v>
      </c>
    </row>
    <row r="13" spans="1:32" x14ac:dyDescent="0.2">
      <c r="A13" s="29" t="s">
        <v>1747</v>
      </c>
    </row>
    <row r="14" spans="1:32" ht="15" x14ac:dyDescent="0.25">
      <c r="A14" s="29" t="s">
        <v>1746</v>
      </c>
      <c r="B14" s="312">
        <f>1/B15</f>
        <v>0.89327615502872393</v>
      </c>
    </row>
    <row r="15" spans="1:32" ht="15" x14ac:dyDescent="0.25">
      <c r="A15" s="29" t="s">
        <v>1745</v>
      </c>
      <c r="B15" s="311">
        <f>SUMIF($B$1:$AE$1,B10,$B$3:$AE$3)</f>
        <v>1.1194746376811595</v>
      </c>
    </row>
    <row r="17" spans="1:27" x14ac:dyDescent="0.2">
      <c r="A17" s="29" t="s">
        <v>1744</v>
      </c>
    </row>
    <row r="18" spans="1:27" ht="15.75" customHeight="1" x14ac:dyDescent="0.2">
      <c r="A18" s="306" t="s">
        <v>1739</v>
      </c>
      <c r="B18" s="306">
        <v>1996</v>
      </c>
      <c r="C18" s="306">
        <v>1997</v>
      </c>
      <c r="D18" s="306">
        <v>1998</v>
      </c>
      <c r="E18" s="306">
        <v>1999</v>
      </c>
      <c r="F18" s="306">
        <v>2000</v>
      </c>
      <c r="G18" s="306">
        <v>2001</v>
      </c>
      <c r="H18" s="306">
        <v>2002</v>
      </c>
      <c r="I18" s="306">
        <v>2003</v>
      </c>
      <c r="J18" s="306">
        <v>2004</v>
      </c>
      <c r="K18" s="306">
        <v>2005</v>
      </c>
      <c r="L18" s="306">
        <v>2006</v>
      </c>
      <c r="M18" s="306">
        <v>2007</v>
      </c>
      <c r="N18" s="306">
        <v>2008</v>
      </c>
      <c r="O18" s="306">
        <v>2009</v>
      </c>
      <c r="P18" s="306">
        <v>2010</v>
      </c>
      <c r="Q18" s="306">
        <v>2011</v>
      </c>
      <c r="R18" s="306">
        <v>2012</v>
      </c>
      <c r="S18" s="306">
        <v>2013</v>
      </c>
      <c r="T18" s="306">
        <v>2014</v>
      </c>
      <c r="U18" s="306">
        <v>2015</v>
      </c>
      <c r="AA18" s="29">
        <f>6.5*1.22</f>
        <v>7.93</v>
      </c>
    </row>
    <row r="19" spans="1:27" ht="15.75" customHeight="1" x14ac:dyDescent="0.2">
      <c r="A19" s="305" t="s">
        <v>1743</v>
      </c>
      <c r="B19" s="304">
        <v>1.8255534310941799</v>
      </c>
      <c r="C19" s="304">
        <v>1.71150364527261</v>
      </c>
      <c r="D19" s="304">
        <v>1.0852561994729899</v>
      </c>
      <c r="E19" s="304">
        <v>1.5303218850354201</v>
      </c>
      <c r="F19" s="304">
        <v>2.27551980515122</v>
      </c>
      <c r="G19" s="304">
        <v>2.2789008870265399</v>
      </c>
      <c r="H19" s="304">
        <v>1.53512459242262</v>
      </c>
      <c r="I19" s="304">
        <v>1.99405626315642</v>
      </c>
      <c r="J19" s="304">
        <v>2.7497211590168402</v>
      </c>
      <c r="K19" s="304">
        <v>3.21763824985275</v>
      </c>
      <c r="L19" s="304">
        <v>3.0722666250241302</v>
      </c>
      <c r="M19" s="304">
        <v>2.6613363935771299</v>
      </c>
      <c r="N19" s="304">
        <v>1.9616123833010599</v>
      </c>
      <c r="O19" s="304">
        <v>0.759434764489896</v>
      </c>
      <c r="P19" s="304">
        <v>1.22134939747505</v>
      </c>
      <c r="Q19" s="304">
        <v>2.0646274665789002</v>
      </c>
      <c r="R19" s="304">
        <v>1.84205148309647</v>
      </c>
      <c r="S19" s="304">
        <v>1.63009401037573</v>
      </c>
      <c r="T19" s="304">
        <v>1.6426578036589901</v>
      </c>
      <c r="U19" s="304">
        <v>1.0021165735553299</v>
      </c>
      <c r="AA19" s="29">
        <f>9.1/1.12</f>
        <v>8.1249999999999982</v>
      </c>
    </row>
    <row r="20" spans="1:27" x14ac:dyDescent="0.2">
      <c r="A20" s="309">
        <v>2010</v>
      </c>
      <c r="B20" s="308">
        <f t="shared" ref="B20:T20" si="8">IF(B18=$A$20,1,IF(B18&lt;$A20,C20/(1+C19/100),A20*(B19/100+1)))</f>
        <v>0.75773889271266437</v>
      </c>
      <c r="C20" s="308">
        <f t="shared" si="8"/>
        <v>0.77070762148309002</v>
      </c>
      <c r="D20" s="308">
        <f t="shared" si="8"/>
        <v>0.7790717737250461</v>
      </c>
      <c r="E20" s="308">
        <f t="shared" si="8"/>
        <v>0.7909940795784941</v>
      </c>
      <c r="F20" s="308">
        <f t="shared" si="8"/>
        <v>0.80899330651687629</v>
      </c>
      <c r="G20" s="308">
        <f t="shared" si="8"/>
        <v>0.82742946215507474</v>
      </c>
      <c r="H20" s="308">
        <f t="shared" si="8"/>
        <v>0.84013153531356755</v>
      </c>
      <c r="I20" s="308">
        <f t="shared" si="8"/>
        <v>0.85688423081223997</v>
      </c>
      <c r="J20" s="308">
        <f t="shared" si="8"/>
        <v>0.88044615781516278</v>
      </c>
      <c r="K20" s="308">
        <f t="shared" si="8"/>
        <v>0.90877573015838231</v>
      </c>
      <c r="L20" s="308">
        <f t="shared" si="8"/>
        <v>0.93669574361235763</v>
      </c>
      <c r="M20" s="308">
        <f t="shared" si="8"/>
        <v>0.96162436833420117</v>
      </c>
      <c r="N20" s="308">
        <f t="shared" si="8"/>
        <v>0.98048771102428545</v>
      </c>
      <c r="O20" s="308">
        <f t="shared" si="8"/>
        <v>0.9879338755633551</v>
      </c>
      <c r="P20" s="308">
        <f t="shared" si="8"/>
        <v>1</v>
      </c>
      <c r="Q20" s="310">
        <f t="shared" si="8"/>
        <v>1.0206462746657889</v>
      </c>
      <c r="R20" s="308">
        <f t="shared" si="8"/>
        <v>1.039447104505439</v>
      </c>
      <c r="S20" s="308">
        <f t="shared" si="8"/>
        <v>1.056391069497006</v>
      </c>
      <c r="T20" s="308">
        <f t="shared" si="8"/>
        <v>1.0737439598372553</v>
      </c>
      <c r="U20" s="308">
        <f>IF(U18=$A$20,1,IF(U18&lt;$A20,#REF!/(1+#REF!/100),T20*(U19/100+1)))</f>
        <v>1.0845041260163337</v>
      </c>
    </row>
    <row r="21" spans="1:27" x14ac:dyDescent="0.2">
      <c r="A21" s="309" t="s">
        <v>1741</v>
      </c>
      <c r="B21" s="308">
        <f t="shared" ref="B21:U21" si="9">1/B20</f>
        <v>1.3197158145334917</v>
      </c>
      <c r="C21" s="308">
        <f t="shared" si="9"/>
        <v>1.2975089023716639</v>
      </c>
      <c r="D21" s="308">
        <f t="shared" si="9"/>
        <v>1.2835787840427202</v>
      </c>
      <c r="E21" s="308">
        <f t="shared" si="9"/>
        <v>1.2642319655955974</v>
      </c>
      <c r="F21" s="308">
        <f t="shared" si="9"/>
        <v>1.2361041703861602</v>
      </c>
      <c r="G21" s="308">
        <f t="shared" si="9"/>
        <v>1.2085622348948732</v>
      </c>
      <c r="H21" s="308">
        <f t="shared" si="9"/>
        <v>1.1902898034017539</v>
      </c>
      <c r="I21" s="308">
        <f t="shared" si="9"/>
        <v>1.1670187920859516</v>
      </c>
      <c r="J21" s="308">
        <f t="shared" si="9"/>
        <v>1.1357877947715866</v>
      </c>
      <c r="K21" s="308">
        <f t="shared" si="9"/>
        <v>1.1003814987727709</v>
      </c>
      <c r="L21" s="308">
        <f t="shared" si="9"/>
        <v>1.0675825173962146</v>
      </c>
      <c r="M21" s="308">
        <f t="shared" si="9"/>
        <v>1.0399070915104576</v>
      </c>
      <c r="N21" s="308">
        <f t="shared" si="9"/>
        <v>1.0199005951388525</v>
      </c>
      <c r="O21" s="308">
        <f t="shared" si="9"/>
        <v>1.0122134939747505</v>
      </c>
      <c r="P21" s="308">
        <f t="shared" si="9"/>
        <v>1</v>
      </c>
      <c r="Q21" s="308">
        <f t="shared" si="9"/>
        <v>0.97977137116132662</v>
      </c>
      <c r="R21" s="308">
        <f t="shared" si="9"/>
        <v>0.96204991640800464</v>
      </c>
      <c r="S21" s="308">
        <f t="shared" si="9"/>
        <v>0.94661913459391867</v>
      </c>
      <c r="T21" s="308">
        <f t="shared" si="9"/>
        <v>0.93132072207564964</v>
      </c>
      <c r="U21" s="308">
        <f t="shared" si="9"/>
        <v>0.92208040155020954</v>
      </c>
    </row>
    <row r="23" spans="1:27" x14ac:dyDescent="0.2">
      <c r="A23" s="307" t="s">
        <v>1742</v>
      </c>
    </row>
    <row r="24" spans="1:27" ht="15.75" customHeight="1" x14ac:dyDescent="0.2">
      <c r="A24" s="306" t="s">
        <v>1739</v>
      </c>
      <c r="B24" s="306">
        <v>1996</v>
      </c>
      <c r="C24" s="306">
        <v>1997</v>
      </c>
      <c r="D24" s="306">
        <v>1998</v>
      </c>
      <c r="E24" s="306">
        <v>1999</v>
      </c>
      <c r="F24" s="306">
        <v>2000</v>
      </c>
      <c r="G24" s="306">
        <v>2001</v>
      </c>
      <c r="H24" s="306">
        <v>2002</v>
      </c>
      <c r="I24" s="306">
        <v>2003</v>
      </c>
      <c r="J24" s="306">
        <v>2004</v>
      </c>
      <c r="K24" s="306">
        <v>2005</v>
      </c>
      <c r="L24" s="306">
        <v>2006</v>
      </c>
      <c r="M24" s="306">
        <v>2007</v>
      </c>
      <c r="N24" s="306">
        <v>2008</v>
      </c>
      <c r="O24" s="306">
        <v>2009</v>
      </c>
      <c r="P24" s="306">
        <v>2010</v>
      </c>
      <c r="Q24" s="306">
        <v>2011</v>
      </c>
      <c r="R24" s="306">
        <v>2012</v>
      </c>
      <c r="S24" s="306">
        <v>2013</v>
      </c>
      <c r="T24" s="306">
        <v>2014</v>
      </c>
      <c r="U24" s="306">
        <v>2015</v>
      </c>
    </row>
    <row r="25" spans="1:27" ht="15.75" customHeight="1" x14ac:dyDescent="0.2">
      <c r="A25" s="305" t="s">
        <v>1738</v>
      </c>
      <c r="B25" s="304">
        <v>4.2993491666666701</v>
      </c>
      <c r="C25" s="304">
        <v>4.6079616666666698</v>
      </c>
      <c r="D25" s="304">
        <v>5.52828416666667</v>
      </c>
      <c r="E25" s="304">
        <v>6.1094841666666699</v>
      </c>
      <c r="F25" s="304">
        <v>6.9398283333333302</v>
      </c>
      <c r="G25" s="304">
        <v>8.6091808333333297</v>
      </c>
      <c r="H25" s="304">
        <v>10.540746666666699</v>
      </c>
      <c r="I25" s="304">
        <v>7.5647491666666697</v>
      </c>
      <c r="J25" s="304">
        <v>6.4596925000000001</v>
      </c>
      <c r="K25" s="304">
        <v>6.3593283333333304</v>
      </c>
      <c r="L25" s="304">
        <v>6.7715491666666701</v>
      </c>
      <c r="M25" s="304">
        <v>7.0453650000000003</v>
      </c>
      <c r="N25" s="304">
        <v>8.26122333333333</v>
      </c>
      <c r="O25" s="304">
        <v>8.4736741582488797</v>
      </c>
      <c r="P25" s="304">
        <v>7.3212219611528804</v>
      </c>
      <c r="Q25" s="304">
        <v>7.2611321323273499</v>
      </c>
      <c r="R25" s="304">
        <v>8.2099686265933105</v>
      </c>
      <c r="S25" s="304">
        <v>9.6550560691352594</v>
      </c>
      <c r="T25" s="304">
        <v>10.852655568783099</v>
      </c>
      <c r="U25" s="304">
        <v>12.7589308811644</v>
      </c>
    </row>
    <row r="26" spans="1:27" x14ac:dyDescent="0.2">
      <c r="A26" s="309">
        <v>2010</v>
      </c>
      <c r="B26" s="308">
        <f t="shared" ref="B26:T26" si="10">IF(B24=$A$26,1,IF(B24&lt;$A26,C26/(1+C25/100),A26*(B25/100+1)))</f>
        <v>0.37900653843113158</v>
      </c>
      <c r="C26" s="308">
        <f t="shared" si="10"/>
        <v>0.39647101443619837</v>
      </c>
      <c r="D26" s="308">
        <f t="shared" si="10"/>
        <v>0.41838905875269744</v>
      </c>
      <c r="E26" s="308">
        <f t="shared" si="10"/>
        <v>0.44395047205225924</v>
      </c>
      <c r="F26" s="308">
        <f t="shared" si="10"/>
        <v>0.47475987269770897</v>
      </c>
      <c r="G26" s="308">
        <f t="shared" si="10"/>
        <v>0.51563280866235783</v>
      </c>
      <c r="H26" s="308">
        <f t="shared" si="10"/>
        <v>0.56998435675367509</v>
      </c>
      <c r="I26" s="308">
        <f t="shared" si="10"/>
        <v>0.61310224363132915</v>
      </c>
      <c r="J26" s="308">
        <f t="shared" si="10"/>
        <v>0.65270676328051391</v>
      </c>
      <c r="K26" s="308">
        <f t="shared" si="10"/>
        <v>0.6942145294113945</v>
      </c>
      <c r="L26" s="308">
        <f t="shared" si="10"/>
        <v>0.74122360759263073</v>
      </c>
      <c r="M26" s="308">
        <f t="shared" si="10"/>
        <v>0.79344551621369919</v>
      </c>
      <c r="N26" s="308">
        <f t="shared" si="10"/>
        <v>0.85899382233643229</v>
      </c>
      <c r="O26" s="308">
        <f t="shared" si="10"/>
        <v>0.93178215988070889</v>
      </c>
      <c r="P26" s="308">
        <f t="shared" si="10"/>
        <v>1</v>
      </c>
      <c r="Q26" s="308">
        <f t="shared" si="10"/>
        <v>1.0726113213232735</v>
      </c>
      <c r="R26" s="308">
        <f t="shared" si="10"/>
        <v>1.1606723742892022</v>
      </c>
      <c r="S26" s="308">
        <f t="shared" si="10"/>
        <v>1.2727359428057881</v>
      </c>
      <c r="T26" s="308">
        <f t="shared" si="10"/>
        <v>1.4108615909786044</v>
      </c>
      <c r="U26" s="308">
        <f>IF(U24=$A$26,1,IF(U24&lt;$A26,#REF!/(1+#REF!/100),T26*(U25/100+1)))</f>
        <v>1.5908724462004609</v>
      </c>
    </row>
    <row r="27" spans="1:27" x14ac:dyDescent="0.2">
      <c r="A27" s="309" t="s">
        <v>1741</v>
      </c>
      <c r="B27" s="308">
        <f t="shared" ref="B27:U27" si="11">1/B26</f>
        <v>2.6384769089721329</v>
      </c>
      <c r="C27" s="308">
        <f t="shared" si="11"/>
        <v>2.5222524814885903</v>
      </c>
      <c r="D27" s="308">
        <f t="shared" si="11"/>
        <v>2.3901198635098218</v>
      </c>
      <c r="E27" s="308">
        <f t="shared" si="11"/>
        <v>2.2525035177398931</v>
      </c>
      <c r="F27" s="308">
        <f t="shared" si="11"/>
        <v>2.1063279723236508</v>
      </c>
      <c r="G27" s="308">
        <f t="shared" si="11"/>
        <v>1.9393645695163886</v>
      </c>
      <c r="H27" s="308">
        <f t="shared" si="11"/>
        <v>1.7544341141140489</v>
      </c>
      <c r="I27" s="308">
        <f t="shared" si="11"/>
        <v>1.6310493239710282</v>
      </c>
      <c r="J27" s="308">
        <f t="shared" si="11"/>
        <v>1.5320815659607772</v>
      </c>
      <c r="K27" s="308">
        <f t="shared" si="11"/>
        <v>1.4404769097066761</v>
      </c>
      <c r="L27" s="308">
        <f t="shared" si="11"/>
        <v>1.3491205484507318</v>
      </c>
      <c r="M27" s="308">
        <f t="shared" si="11"/>
        <v>1.2603259827744357</v>
      </c>
      <c r="N27" s="308">
        <f t="shared" si="11"/>
        <v>1.1641527261279201</v>
      </c>
      <c r="O27" s="308">
        <f t="shared" si="11"/>
        <v>1.0732122196115288</v>
      </c>
      <c r="P27" s="308">
        <f t="shared" si="11"/>
        <v>1</v>
      </c>
      <c r="Q27" s="308">
        <f t="shared" si="11"/>
        <v>0.93230416285957762</v>
      </c>
      <c r="R27" s="308">
        <f t="shared" si="11"/>
        <v>0.8615695713550533</v>
      </c>
      <c r="S27" s="308">
        <f t="shared" si="11"/>
        <v>0.78570893330431701</v>
      </c>
      <c r="T27" s="308">
        <f t="shared" si="11"/>
        <v>0.70878674874576331</v>
      </c>
      <c r="U27" s="308">
        <f t="shared" si="11"/>
        <v>0.62858590730409392</v>
      </c>
    </row>
    <row r="29" spans="1:27" x14ac:dyDescent="0.2">
      <c r="A29" s="307" t="s">
        <v>1740</v>
      </c>
    </row>
    <row r="30" spans="1:27" ht="15.75" customHeight="1" x14ac:dyDescent="0.2">
      <c r="A30" s="306" t="s">
        <v>1739</v>
      </c>
      <c r="B30" s="306">
        <v>1996</v>
      </c>
      <c r="C30" s="306">
        <v>1997</v>
      </c>
      <c r="D30" s="306">
        <v>1998</v>
      </c>
      <c r="E30" s="306">
        <v>1999</v>
      </c>
      <c r="F30" s="306">
        <v>2000</v>
      </c>
      <c r="G30" s="306">
        <v>2001</v>
      </c>
      <c r="H30" s="306">
        <v>2002</v>
      </c>
      <c r="I30" s="306">
        <v>2003</v>
      </c>
      <c r="J30" s="306">
        <v>2004</v>
      </c>
      <c r="K30" s="306">
        <v>2005</v>
      </c>
      <c r="L30" s="306">
        <v>2006</v>
      </c>
      <c r="M30" s="306">
        <v>2007</v>
      </c>
      <c r="N30" s="306">
        <v>2008</v>
      </c>
      <c r="O30" s="306">
        <v>2009</v>
      </c>
      <c r="P30" s="306">
        <v>2010</v>
      </c>
      <c r="Q30" s="306">
        <v>2011</v>
      </c>
      <c r="R30" s="306">
        <v>2012</v>
      </c>
      <c r="S30" s="306">
        <v>2013</v>
      </c>
      <c r="T30" s="306">
        <v>2014</v>
      </c>
      <c r="U30" s="306">
        <v>2015</v>
      </c>
    </row>
    <row r="31" spans="1:27" ht="15.75" customHeight="1" x14ac:dyDescent="0.2">
      <c r="A31" s="305" t="s">
        <v>1738</v>
      </c>
      <c r="B31" s="304">
        <v>103.715135759584</v>
      </c>
      <c r="C31" s="304">
        <v>109.521881253578</v>
      </c>
      <c r="D31" s="304">
        <v>100.564833236306</v>
      </c>
      <c r="E31" s="304">
        <v>95.147213378643301</v>
      </c>
      <c r="F31" s="304">
        <v>92.053927609599299</v>
      </c>
      <c r="G31" s="304">
        <v>81.296448850858198</v>
      </c>
      <c r="H31" s="304">
        <v>69.451444430556194</v>
      </c>
      <c r="I31" s="304">
        <v>90.226931033391807</v>
      </c>
      <c r="J31" s="304">
        <v>97.558121531582202</v>
      </c>
      <c r="K31" s="304">
        <v>98.889450271899506</v>
      </c>
      <c r="L31" s="304">
        <v>94.943180992497403</v>
      </c>
      <c r="M31" s="304">
        <v>89.261366522496303</v>
      </c>
      <c r="N31" s="304">
        <v>79.430220433244997</v>
      </c>
      <c r="O31" s="304">
        <v>86.5809923216611</v>
      </c>
      <c r="P31" s="304">
        <v>100</v>
      </c>
      <c r="Q31" s="304">
        <v>97.917858437598099</v>
      </c>
      <c r="R31" s="304">
        <v>92.603568191556306</v>
      </c>
      <c r="S31" s="304">
        <v>82.840595021179197</v>
      </c>
      <c r="T31" s="304">
        <v>77.598396119444104</v>
      </c>
      <c r="U31" s="304">
        <v>77.160528760568198</v>
      </c>
    </row>
    <row r="32" spans="1:27" ht="13.5" thickBot="1" x14ac:dyDescent="0.25"/>
    <row r="33" spans="1:6" ht="13.5" thickBot="1" x14ac:dyDescent="0.25">
      <c r="A33" s="29" t="s">
        <v>1737</v>
      </c>
      <c r="F33" s="303">
        <v>7.4</v>
      </c>
    </row>
  </sheetData>
  <hyperlinks>
    <hyperlink ref="A6" r:id="rId1" xr:uid="{7182463A-1333-4CA2-A86A-2910760E481F}"/>
    <hyperlink ref="AF1" r:id="rId2" xr:uid="{5ACDFE10-36E1-4A6C-8FBD-77D41DBAF1FE}"/>
  </hyperlinks>
  <pageMargins left="0.75" right="0.75" top="1" bottom="1" header="0.5" footer="0.5"/>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1:D13"/>
  <sheetViews>
    <sheetView workbookViewId="0"/>
  </sheetViews>
  <sheetFormatPr defaultColWidth="9.140625" defaultRowHeight="11.25" x14ac:dyDescent="0.2"/>
  <cols>
    <col min="1" max="1" width="14.42578125" style="3" customWidth="1"/>
    <col min="2" max="2" width="42.42578125" style="3" customWidth="1"/>
    <col min="3" max="3" width="28.42578125" style="3" customWidth="1"/>
    <col min="4" max="4" width="21.7109375" style="3" customWidth="1"/>
    <col min="5" max="16384" width="9.140625" style="3"/>
  </cols>
  <sheetData>
    <row r="1" spans="1:4" x14ac:dyDescent="0.2">
      <c r="A1" s="2" t="s">
        <v>100</v>
      </c>
      <c r="B1" s="3" t="s">
        <v>101</v>
      </c>
    </row>
    <row r="3" spans="1:4" ht="18" customHeight="1" x14ac:dyDescent="0.2"/>
    <row r="7" spans="1:4" x14ac:dyDescent="0.2">
      <c r="A7" s="2" t="s">
        <v>16</v>
      </c>
      <c r="B7" s="2" t="s">
        <v>15</v>
      </c>
      <c r="C7" s="2" t="s">
        <v>1</v>
      </c>
      <c r="D7" s="2" t="s">
        <v>0</v>
      </c>
    </row>
    <row r="8" spans="1:4" x14ac:dyDescent="0.2">
      <c r="A8" s="5" t="s">
        <v>17</v>
      </c>
      <c r="B8" s="5" t="s">
        <v>18</v>
      </c>
      <c r="C8" s="5" t="s">
        <v>19</v>
      </c>
    </row>
    <row r="9" spans="1:4" x14ac:dyDescent="0.2">
      <c r="A9" s="2" t="s">
        <v>96</v>
      </c>
    </row>
    <row r="10" spans="1:4" x14ac:dyDescent="0.2">
      <c r="A10" s="3" t="s">
        <v>95</v>
      </c>
      <c r="B10" s="3" t="s">
        <v>95</v>
      </c>
      <c r="C10" s="5" t="s">
        <v>97</v>
      </c>
    </row>
    <row r="11" spans="1:4" x14ac:dyDescent="0.2">
      <c r="A11" s="3" t="s">
        <v>98</v>
      </c>
      <c r="B11" s="3" t="s">
        <v>98</v>
      </c>
      <c r="C11" s="5" t="s">
        <v>97</v>
      </c>
    </row>
    <row r="13" spans="1:4" x14ac:dyDescent="0.2">
      <c r="A13" s="2" t="s">
        <v>102</v>
      </c>
    </row>
  </sheetData>
  <phoneticPr fontId="23" type="noConversion"/>
  <pageMargins left="0.75" right="0.75" top="1" bottom="1" header="0.5" footer="0.5"/>
  <pageSetup paperSize="9" orientation="portrait" horizontalDpi="1200" verticalDpi="0"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A1:F7"/>
  <sheetViews>
    <sheetView workbookViewId="0"/>
  </sheetViews>
  <sheetFormatPr defaultColWidth="9.140625" defaultRowHeight="11.25" x14ac:dyDescent="0.2"/>
  <cols>
    <col min="1" max="1" width="12.85546875" style="9" customWidth="1"/>
    <col min="2" max="2" width="12.28515625" style="9" customWidth="1"/>
    <col min="3" max="3" width="21" style="9" customWidth="1"/>
    <col min="4" max="4" width="10.28515625" style="9" customWidth="1"/>
    <col min="5" max="5" width="29.7109375" style="9" customWidth="1"/>
    <col min="6" max="6" width="10.28515625" style="9" customWidth="1"/>
    <col min="7" max="16384" width="9.140625" style="9"/>
  </cols>
  <sheetData>
    <row r="1" spans="1:6" x14ac:dyDescent="0.2">
      <c r="A1" s="11" t="s">
        <v>99</v>
      </c>
    </row>
    <row r="4" spans="1:6" ht="17.25" customHeight="1" x14ac:dyDescent="0.2"/>
    <row r="5" spans="1:6" ht="17.25" customHeight="1" x14ac:dyDescent="0.2">
      <c r="C5" s="10"/>
    </row>
    <row r="6" spans="1:6" ht="15.75" customHeight="1" x14ac:dyDescent="0.2"/>
    <row r="7" spans="1:6" x14ac:dyDescent="0.2">
      <c r="B7" s="15" t="s">
        <v>40</v>
      </c>
      <c r="C7" s="11" t="s">
        <v>41</v>
      </c>
      <c r="D7" s="11" t="s">
        <v>42</v>
      </c>
      <c r="E7" s="11" t="s">
        <v>1</v>
      </c>
      <c r="F7" s="11" t="s">
        <v>0</v>
      </c>
    </row>
  </sheetData>
  <pageMargins left="0.75" right="0.75" top="1" bottom="1" header="0.5" footer="0.5"/>
  <pageSetup paperSize="9" orientation="portrait" horizontalDpi="1200" verticalDpi="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F10"/>
  <sheetViews>
    <sheetView workbookViewId="0"/>
  </sheetViews>
  <sheetFormatPr defaultColWidth="9.140625" defaultRowHeight="11.25" x14ac:dyDescent="0.2"/>
  <cols>
    <col min="1" max="1" width="13.42578125" style="3" customWidth="1"/>
    <col min="2" max="2" width="11.140625" style="3" customWidth="1"/>
    <col min="3" max="3" width="27.28515625" style="3" customWidth="1"/>
    <col min="4" max="4" width="11.140625" style="3" customWidth="1"/>
    <col min="5" max="5" width="29.28515625" style="3" customWidth="1"/>
    <col min="6" max="6" width="10.42578125" style="3" customWidth="1"/>
    <col min="7" max="16384" width="9.140625" style="3"/>
  </cols>
  <sheetData>
    <row r="1" spans="1:6" x14ac:dyDescent="0.2">
      <c r="A1" s="2" t="s">
        <v>105</v>
      </c>
    </row>
    <row r="4" spans="1:6" ht="18" customHeight="1" x14ac:dyDescent="0.2"/>
    <row r="7" spans="1:6" x14ac:dyDescent="0.2">
      <c r="B7" s="2" t="s">
        <v>56</v>
      </c>
      <c r="C7" s="2" t="s">
        <v>57</v>
      </c>
      <c r="D7" s="2" t="s">
        <v>93</v>
      </c>
      <c r="E7" s="2" t="s">
        <v>1</v>
      </c>
      <c r="F7" s="2" t="s">
        <v>0</v>
      </c>
    </row>
    <row r="8" spans="1:6" x14ac:dyDescent="0.2">
      <c r="B8" s="2"/>
      <c r="C8" s="2"/>
      <c r="D8" s="2"/>
      <c r="E8" s="2"/>
      <c r="F8" s="2"/>
    </row>
    <row r="9" spans="1:6" x14ac:dyDescent="0.2">
      <c r="B9" s="23"/>
      <c r="C9" s="23"/>
      <c r="E9" s="23"/>
    </row>
    <row r="10" spans="1:6" x14ac:dyDescent="0.2">
      <c r="B10" s="4"/>
      <c r="C10" s="23"/>
    </row>
  </sheetData>
  <pageMargins left="0.75" right="0.75" top="1" bottom="1" header="0.5" footer="0.5"/>
  <pageSetup paperSize="9" orientation="portrait" horizontalDpi="1200" verticalDpi="0"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
  <dimension ref="A1:F10"/>
  <sheetViews>
    <sheetView workbookViewId="0"/>
  </sheetViews>
  <sheetFormatPr defaultColWidth="9.140625" defaultRowHeight="12.75" x14ac:dyDescent="0.2"/>
  <cols>
    <col min="1" max="1" width="12.28515625" style="8" customWidth="1"/>
    <col min="2" max="2" width="12.140625" style="8" customWidth="1"/>
    <col min="3" max="3" width="28.42578125" style="8" customWidth="1"/>
    <col min="4" max="4" width="10" style="8" customWidth="1"/>
    <col min="5" max="5" width="28.42578125" style="8" customWidth="1"/>
    <col min="6" max="6" width="10.28515625" style="8" customWidth="1"/>
    <col min="7" max="16384" width="9.140625" style="8"/>
  </cols>
  <sheetData>
    <row r="1" spans="1:6" s="9" customFormat="1" ht="11.25" x14ac:dyDescent="0.2">
      <c r="A1" s="11" t="s">
        <v>103</v>
      </c>
    </row>
    <row r="2" spans="1:6" s="9" customFormat="1" ht="11.25" x14ac:dyDescent="0.2"/>
    <row r="3" spans="1:6" s="9" customFormat="1" ht="11.25" x14ac:dyDescent="0.2"/>
    <row r="4" spans="1:6" s="9" customFormat="1" ht="18.75" customHeight="1" x14ac:dyDescent="0.2"/>
    <row r="5" spans="1:6" s="9" customFormat="1" ht="17.25" customHeight="1" x14ac:dyDescent="0.2">
      <c r="C5" s="10"/>
    </row>
    <row r="6" spans="1:6" s="9" customFormat="1" ht="15.75" customHeight="1" x14ac:dyDescent="0.2"/>
    <row r="7" spans="1:6" s="9" customFormat="1" ht="11.25" x14ac:dyDescent="0.2">
      <c r="B7" s="15" t="s">
        <v>46</v>
      </c>
      <c r="C7" s="11" t="s">
        <v>47</v>
      </c>
      <c r="D7" s="11" t="s">
        <v>43</v>
      </c>
      <c r="E7" s="11" t="s">
        <v>1</v>
      </c>
      <c r="F7" s="11" t="s">
        <v>0</v>
      </c>
    </row>
    <row r="8" spans="1:6" s="9" customFormat="1" ht="11.25" x14ac:dyDescent="0.2">
      <c r="B8" s="10"/>
      <c r="C8" s="10"/>
    </row>
    <row r="9" spans="1:6" s="9" customFormat="1" ht="11.25" x14ac:dyDescent="0.2">
      <c r="B9" s="10"/>
      <c r="C9" s="10"/>
      <c r="E9" s="10"/>
    </row>
    <row r="10" spans="1:6" s="9" customFormat="1" ht="11.25" x14ac:dyDescent="0.2">
      <c r="D10" s="10"/>
      <c r="E10" s="10"/>
    </row>
  </sheetData>
  <pageMargins left="0.75" right="0.75" top="1" bottom="1" header="0.5" footer="0.5"/>
  <pageSetup paperSize="9" orientation="portrait" horizontalDpi="1200" verticalDpi="0"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dimension ref="A1:D9"/>
  <sheetViews>
    <sheetView workbookViewId="0"/>
  </sheetViews>
  <sheetFormatPr defaultColWidth="8.85546875" defaultRowHeight="11.25" x14ac:dyDescent="0.2"/>
  <cols>
    <col min="1" max="1" width="14.85546875" style="3" customWidth="1"/>
    <col min="2" max="2" width="11.7109375" style="3" customWidth="1"/>
    <col min="3" max="3" width="21.140625" style="3" customWidth="1"/>
    <col min="4" max="4" width="8.7109375" style="3" customWidth="1"/>
    <col min="5" max="16384" width="8.85546875" style="3"/>
  </cols>
  <sheetData>
    <row r="1" spans="1:4" x14ac:dyDescent="0.2">
      <c r="A1" s="2" t="s">
        <v>104</v>
      </c>
    </row>
    <row r="3" spans="1:4" ht="15" customHeight="1" x14ac:dyDescent="0.2"/>
    <row r="4" spans="1:4" ht="20.25" customHeight="1" x14ac:dyDescent="0.2"/>
    <row r="5" spans="1:4" ht="19.5" customHeight="1" x14ac:dyDescent="0.2"/>
    <row r="6" spans="1:4" ht="19.5" customHeight="1" x14ac:dyDescent="0.2"/>
    <row r="7" spans="1:4" x14ac:dyDescent="0.2">
      <c r="B7" s="2" t="s">
        <v>40</v>
      </c>
      <c r="C7" s="2" t="s">
        <v>41</v>
      </c>
      <c r="D7" s="2" t="s">
        <v>43</v>
      </c>
    </row>
    <row r="9" spans="1:4" x14ac:dyDescent="0.2">
      <c r="B9" s="12"/>
      <c r="C9" s="12"/>
      <c r="D9" s="12"/>
    </row>
  </sheetData>
  <pageMargins left="0.75" right="0.75" top="1" bottom="1" header="0.5" footer="0.5"/>
  <pageSetup paperSize="9" orientation="landscape" horizontalDpi="1200" verticalDpi="0" r:id="rId1"/>
  <headerFooter alignWithMargins="0"/>
  <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6"/>
  <dimension ref="A1:G7"/>
  <sheetViews>
    <sheetView workbookViewId="0"/>
  </sheetViews>
  <sheetFormatPr defaultColWidth="9.140625" defaultRowHeight="11.25" customHeight="1" x14ac:dyDescent="0.2"/>
  <cols>
    <col min="1" max="1" width="12.28515625" style="3" customWidth="1"/>
    <col min="2" max="2" width="8.42578125" style="3" customWidth="1"/>
    <col min="3" max="3" width="24.28515625" style="3" customWidth="1"/>
    <col min="4" max="4" width="8.42578125" style="3" customWidth="1"/>
    <col min="5" max="5" width="8.85546875" style="3" customWidth="1"/>
    <col min="6" max="6" width="10.140625" style="3" customWidth="1"/>
    <col min="7" max="7" width="6.85546875" style="26" customWidth="1"/>
    <col min="8" max="16384" width="9.140625" style="3"/>
  </cols>
  <sheetData>
    <row r="1" spans="1:7" ht="11.25" customHeight="1" x14ac:dyDescent="0.2">
      <c r="A1" s="2" t="s">
        <v>110</v>
      </c>
    </row>
    <row r="3" spans="1:7" ht="21.75" customHeight="1" x14ac:dyDescent="0.2"/>
    <row r="4" spans="1:7" ht="17.25" customHeight="1" x14ac:dyDescent="0.2">
      <c r="E4" s="27" t="s">
        <v>92</v>
      </c>
      <c r="F4" s="27"/>
      <c r="G4" s="27"/>
    </row>
    <row r="5" spans="1:7" ht="16.5" customHeight="1" x14ac:dyDescent="0.2"/>
    <row r="6" spans="1:7" ht="17.25" customHeight="1" x14ac:dyDescent="0.2"/>
    <row r="7" spans="1:7" ht="21.75" customHeight="1" x14ac:dyDescent="0.2">
      <c r="B7" s="2" t="s">
        <v>56</v>
      </c>
      <c r="C7" s="2" t="s">
        <v>57</v>
      </c>
      <c r="D7" s="6" t="s">
        <v>93</v>
      </c>
      <c r="E7" s="2" t="s">
        <v>80</v>
      </c>
      <c r="F7" s="2" t="s">
        <v>81</v>
      </c>
      <c r="G7" s="6" t="s">
        <v>94</v>
      </c>
    </row>
  </sheetData>
  <pageMargins left="0.75" right="0.75" top="1" bottom="1" header="0.5" footer="0.5"/>
  <pageSetup paperSize="9" orientation="landscape" horizontalDpi="1200" verticalDpi="0" r:id="rId1"/>
  <headerFooter alignWithMargins="0"/>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
  <dimension ref="A1:X9"/>
  <sheetViews>
    <sheetView workbookViewId="0"/>
  </sheetViews>
  <sheetFormatPr defaultColWidth="9.140625" defaultRowHeight="12.75" x14ac:dyDescent="0.2"/>
  <cols>
    <col min="1" max="2" width="12.42578125" style="8" customWidth="1"/>
    <col min="3" max="3" width="20.42578125" style="8" customWidth="1"/>
    <col min="4" max="4" width="8.7109375" style="8" customWidth="1"/>
    <col min="5" max="5" width="12.28515625" style="8" customWidth="1"/>
    <col min="6" max="7" width="12.140625" style="8" customWidth="1"/>
    <col min="8" max="8" width="10.7109375" style="8" customWidth="1"/>
    <col min="9" max="9" width="10.140625" customWidth="1"/>
    <col min="10" max="10" width="11.28515625" style="8" customWidth="1"/>
    <col min="11" max="11" width="11.140625" style="8" customWidth="1"/>
    <col min="12" max="12" width="12.85546875" style="8" customWidth="1"/>
    <col min="13" max="13" width="14" style="8" customWidth="1"/>
    <col min="14" max="14" width="13.42578125" style="8" customWidth="1"/>
    <col min="15" max="16" width="12.140625" style="8" customWidth="1"/>
    <col min="17" max="17" width="14.140625" style="8" customWidth="1"/>
    <col min="18" max="18" width="14.42578125" style="8" customWidth="1"/>
    <col min="19" max="19" width="17.42578125" style="8" customWidth="1"/>
    <col min="20" max="20" width="19.42578125" style="8" customWidth="1"/>
    <col min="21" max="21" width="19" style="8" customWidth="1"/>
    <col min="22" max="22" width="13.85546875" style="8" customWidth="1"/>
    <col min="23" max="23" width="13.7109375" style="8" customWidth="1"/>
    <col min="24" max="24" width="12.28515625" style="8" customWidth="1"/>
    <col min="25" max="25" width="10.28515625" style="8" customWidth="1"/>
    <col min="26" max="16384" width="9.140625" style="8"/>
  </cols>
  <sheetData>
    <row r="1" spans="1:24" s="9" customFormat="1" ht="11.25" x14ac:dyDescent="0.2">
      <c r="A1" s="11" t="s">
        <v>106</v>
      </c>
    </row>
    <row r="2" spans="1:24" s="9" customFormat="1" ht="11.25" customHeight="1" x14ac:dyDescent="0.2"/>
    <row r="3" spans="1:24" s="9" customFormat="1" ht="21.75" customHeight="1" x14ac:dyDescent="0.2">
      <c r="H3" s="21" t="s">
        <v>67</v>
      </c>
      <c r="I3" s="21" t="s">
        <v>68</v>
      </c>
      <c r="J3" s="21" t="s">
        <v>65</v>
      </c>
      <c r="K3" s="21" t="s">
        <v>66</v>
      </c>
      <c r="L3" s="21" t="s">
        <v>69</v>
      </c>
      <c r="M3" s="21" t="s">
        <v>70</v>
      </c>
      <c r="N3" s="22" t="s">
        <v>71</v>
      </c>
      <c r="O3" s="22" t="s">
        <v>73</v>
      </c>
      <c r="P3" s="22" t="s">
        <v>83</v>
      </c>
      <c r="Q3" s="22" t="s">
        <v>84</v>
      </c>
      <c r="R3" s="22" t="s">
        <v>85</v>
      </c>
      <c r="S3" s="22" t="s">
        <v>86</v>
      </c>
      <c r="T3" s="22" t="s">
        <v>87</v>
      </c>
      <c r="U3" s="22" t="s">
        <v>91</v>
      </c>
      <c r="V3" s="21" t="s">
        <v>88</v>
      </c>
      <c r="W3" s="21" t="s">
        <v>89</v>
      </c>
      <c r="X3" s="22" t="s">
        <v>90</v>
      </c>
    </row>
    <row r="4" spans="1:24" s="9" customFormat="1" ht="17.25" customHeight="1" x14ac:dyDescent="0.2">
      <c r="E4" s="20"/>
      <c r="F4" s="20"/>
      <c r="G4" s="20"/>
      <c r="H4" s="13" t="s">
        <v>48</v>
      </c>
      <c r="I4" s="16" t="s">
        <v>64</v>
      </c>
      <c r="J4" s="13" t="s">
        <v>60</v>
      </c>
      <c r="K4" s="13" t="s">
        <v>61</v>
      </c>
      <c r="L4" s="13" t="s">
        <v>49</v>
      </c>
      <c r="M4" s="16" t="s">
        <v>58</v>
      </c>
      <c r="N4" s="13" t="s">
        <v>53</v>
      </c>
      <c r="O4" s="16" t="s">
        <v>62</v>
      </c>
      <c r="P4" s="16" t="s">
        <v>55</v>
      </c>
      <c r="Q4" s="16" t="s">
        <v>72</v>
      </c>
      <c r="R4" s="16" t="s">
        <v>74</v>
      </c>
      <c r="S4" s="16" t="s">
        <v>75</v>
      </c>
      <c r="T4" s="16" t="s">
        <v>76</v>
      </c>
      <c r="U4" s="16" t="s">
        <v>78</v>
      </c>
      <c r="V4" s="13" t="s">
        <v>50</v>
      </c>
      <c r="W4" s="13" t="s">
        <v>52</v>
      </c>
      <c r="X4" s="13" t="s">
        <v>54</v>
      </c>
    </row>
    <row r="5" spans="1:24" s="9" customFormat="1" ht="17.25" customHeight="1" x14ac:dyDescent="0.2">
      <c r="H5" s="19"/>
      <c r="I5" s="19"/>
      <c r="J5" s="14" t="s">
        <v>59</v>
      </c>
      <c r="K5" s="14" t="s">
        <v>59</v>
      </c>
      <c r="L5" s="19"/>
      <c r="M5" s="14" t="s">
        <v>59</v>
      </c>
      <c r="N5" s="14" t="s">
        <v>59</v>
      </c>
      <c r="O5" s="17" t="s">
        <v>63</v>
      </c>
      <c r="P5" s="17" t="s">
        <v>63</v>
      </c>
      <c r="Q5" s="17" t="s">
        <v>63</v>
      </c>
      <c r="R5" s="17" t="s">
        <v>63</v>
      </c>
      <c r="S5" s="17" t="s">
        <v>63</v>
      </c>
      <c r="T5" s="17" t="s">
        <v>63</v>
      </c>
      <c r="U5" s="17" t="s">
        <v>63</v>
      </c>
    </row>
    <row r="6" spans="1:24" s="9" customFormat="1" ht="17.25" customHeight="1" x14ac:dyDescent="0.2">
      <c r="H6" s="19"/>
      <c r="I6" s="19"/>
      <c r="J6" s="19"/>
      <c r="K6" s="19"/>
      <c r="L6" s="19"/>
      <c r="M6" s="19"/>
      <c r="N6" s="19"/>
      <c r="O6" s="19"/>
      <c r="P6" s="17" t="s">
        <v>79</v>
      </c>
      <c r="Q6" s="19"/>
      <c r="R6" s="19"/>
      <c r="S6" s="19"/>
      <c r="T6" s="17" t="s">
        <v>77</v>
      </c>
      <c r="U6" s="25" t="s">
        <v>82</v>
      </c>
    </row>
    <row r="7" spans="1:24" s="9" customFormat="1" ht="17.25" customHeight="1" x14ac:dyDescent="0.2">
      <c r="B7" s="11" t="s">
        <v>46</v>
      </c>
      <c r="C7" s="11" t="s">
        <v>47</v>
      </c>
      <c r="D7" s="11" t="s">
        <v>43</v>
      </c>
      <c r="E7" s="11" t="s">
        <v>56</v>
      </c>
      <c r="F7" s="11" t="s">
        <v>40</v>
      </c>
      <c r="G7" s="11" t="s">
        <v>45</v>
      </c>
      <c r="H7" s="18" t="s">
        <v>44</v>
      </c>
      <c r="J7" s="18" t="s">
        <v>44</v>
      </c>
      <c r="K7" s="21"/>
      <c r="L7" s="18" t="s">
        <v>44</v>
      </c>
      <c r="M7" s="11"/>
      <c r="N7" s="21"/>
      <c r="O7" s="11"/>
      <c r="P7" s="16" t="s">
        <v>44</v>
      </c>
      <c r="Q7" s="16"/>
      <c r="R7" s="16"/>
      <c r="S7" s="16"/>
      <c r="T7" s="16"/>
      <c r="U7" s="16" t="s">
        <v>44</v>
      </c>
      <c r="V7" s="24" t="s">
        <v>51</v>
      </c>
      <c r="W7" s="24" t="s">
        <v>51</v>
      </c>
      <c r="X7" s="24" t="s">
        <v>51</v>
      </c>
    </row>
    <row r="9" spans="1:24" x14ac:dyDescent="0.2">
      <c r="A9" s="7"/>
      <c r="B9" s="7"/>
      <c r="C9" s="7"/>
      <c r="D9" s="7"/>
      <c r="E9" s="7"/>
      <c r="F9" s="7"/>
    </row>
  </sheetData>
  <pageMargins left="0.75" right="0.75" top="1" bottom="1" header="0.5" footer="0.5"/>
  <pageSetup paperSize="9" orientation="landscape" horizontalDpi="1200" verticalDpi="0" r:id="rId1"/>
  <headerFooter alignWithMargins="0"/>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7"/>
  <dimension ref="A1:G15"/>
  <sheetViews>
    <sheetView workbookViewId="0"/>
  </sheetViews>
  <sheetFormatPr defaultColWidth="9.140625" defaultRowHeight="11.25" x14ac:dyDescent="0.2"/>
  <cols>
    <col min="1" max="1" width="14.42578125" style="3" customWidth="1"/>
    <col min="2" max="3" width="9.140625" style="3"/>
    <col min="4" max="4" width="27.42578125" style="3" customWidth="1"/>
    <col min="5" max="5" width="10.140625" style="3" customWidth="1"/>
    <col min="6" max="6" width="28.7109375" style="3" customWidth="1"/>
    <col min="7" max="16384" width="9.140625" style="3"/>
  </cols>
  <sheetData>
    <row r="1" spans="1:7" x14ac:dyDescent="0.2">
      <c r="A1" s="2" t="s">
        <v>107</v>
      </c>
    </row>
    <row r="3" spans="1:7" ht="18.75" customHeight="1" x14ac:dyDescent="0.2"/>
    <row r="7" spans="1:7" x14ac:dyDescent="0.2">
      <c r="B7" s="2" t="s">
        <v>13</v>
      </c>
      <c r="C7" s="4" t="s">
        <v>14</v>
      </c>
      <c r="D7" s="2" t="s">
        <v>15</v>
      </c>
      <c r="E7" s="2" t="s">
        <v>20</v>
      </c>
      <c r="F7" s="2" t="s">
        <v>1</v>
      </c>
      <c r="G7" s="2" t="s">
        <v>0</v>
      </c>
    </row>
    <row r="9" spans="1:7" x14ac:dyDescent="0.2">
      <c r="A9" s="2" t="s">
        <v>25</v>
      </c>
    </row>
    <row r="10" spans="1:7" x14ac:dyDescent="0.2">
      <c r="B10" s="5" t="s">
        <v>26</v>
      </c>
      <c r="C10" s="3" t="s">
        <v>27</v>
      </c>
      <c r="D10" s="3" t="s">
        <v>28</v>
      </c>
      <c r="F10" s="5" t="s">
        <v>29</v>
      </c>
    </row>
    <row r="11" spans="1:7" x14ac:dyDescent="0.2">
      <c r="B11" s="5" t="s">
        <v>26</v>
      </c>
      <c r="C11" s="3" t="s">
        <v>30</v>
      </c>
      <c r="D11" s="3" t="s">
        <v>31</v>
      </c>
      <c r="F11" s="5" t="s">
        <v>29</v>
      </c>
    </row>
    <row r="12" spans="1:7" x14ac:dyDescent="0.2">
      <c r="B12" s="5" t="s">
        <v>26</v>
      </c>
      <c r="C12" s="3" t="s">
        <v>32</v>
      </c>
      <c r="D12" s="3" t="s">
        <v>33</v>
      </c>
      <c r="F12" s="5" t="s">
        <v>29</v>
      </c>
    </row>
    <row r="13" spans="1:7" x14ac:dyDescent="0.2">
      <c r="B13" s="5" t="s">
        <v>26</v>
      </c>
      <c r="C13" s="3" t="s">
        <v>34</v>
      </c>
      <c r="D13" s="3" t="s">
        <v>35</v>
      </c>
      <c r="F13" s="5" t="s">
        <v>29</v>
      </c>
    </row>
    <row r="14" spans="1:7" x14ac:dyDescent="0.2">
      <c r="B14" s="5" t="s">
        <v>26</v>
      </c>
      <c r="C14" s="3" t="s">
        <v>36</v>
      </c>
      <c r="D14" s="3" t="s">
        <v>37</v>
      </c>
      <c r="F14" s="5" t="s">
        <v>29</v>
      </c>
    </row>
    <row r="15" spans="1:7" x14ac:dyDescent="0.2">
      <c r="B15" s="5" t="s">
        <v>26</v>
      </c>
      <c r="C15" s="3" t="s">
        <v>38</v>
      </c>
      <c r="D15" s="3" t="s">
        <v>39</v>
      </c>
      <c r="F15" s="5" t="s">
        <v>29</v>
      </c>
    </row>
  </sheetData>
  <phoneticPr fontId="23" type="noConversion"/>
  <pageMargins left="0.75" right="0.75" top="1" bottom="1" header="0.5" footer="0.5"/>
  <pageSetup paperSize="9" orientation="portrait" verticalDpi="0"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91"/>
  <dimension ref="A1:R7"/>
  <sheetViews>
    <sheetView workbookViewId="0"/>
  </sheetViews>
  <sheetFormatPr defaultColWidth="9.140625" defaultRowHeight="11.25" x14ac:dyDescent="0.2"/>
  <cols>
    <col min="1" max="1" width="14.42578125" style="3" customWidth="1"/>
    <col min="2" max="2" width="12.140625" style="3" customWidth="1"/>
    <col min="3" max="8" width="9.140625" style="3"/>
    <col min="9" max="9" width="6.7109375" style="3" customWidth="1"/>
    <col min="10" max="16384" width="9.140625" style="3"/>
  </cols>
  <sheetData>
    <row r="1" spans="1:18" x14ac:dyDescent="0.2">
      <c r="A1" s="2" t="s">
        <v>10</v>
      </c>
    </row>
    <row r="3" spans="1:18" ht="17.25" customHeight="1" x14ac:dyDescent="0.2"/>
    <row r="7" spans="1:18" x14ac:dyDescent="0.2">
      <c r="B7" s="2" t="s">
        <v>2</v>
      </c>
      <c r="C7" s="2" t="s">
        <v>3</v>
      </c>
      <c r="D7" s="2" t="s">
        <v>4</v>
      </c>
      <c r="E7" s="2" t="s">
        <v>5</v>
      </c>
      <c r="F7" s="2" t="s">
        <v>6</v>
      </c>
      <c r="G7" s="2" t="s">
        <v>7</v>
      </c>
      <c r="H7" s="2" t="s">
        <v>8</v>
      </c>
      <c r="I7" s="2" t="s">
        <v>9</v>
      </c>
      <c r="J7" s="2"/>
      <c r="K7" s="2"/>
      <c r="L7" s="2"/>
      <c r="M7" s="2"/>
      <c r="N7" s="2"/>
      <c r="O7" s="2"/>
      <c r="P7" s="2"/>
      <c r="Q7" s="2"/>
      <c r="R7" s="2"/>
    </row>
  </sheetData>
  <phoneticPr fontId="23" type="noConversion"/>
  <pageMargins left="0.75" right="0.75" top="1" bottom="1" header="0.5" footer="0.5"/>
  <pageSetup paperSize="9" orientation="portrait" horizontalDpi="1200" verticalDpi="0"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0"/>
  <dimension ref="A1:I7"/>
  <sheetViews>
    <sheetView workbookViewId="0"/>
  </sheetViews>
  <sheetFormatPr defaultColWidth="9.140625" defaultRowHeight="11.25" x14ac:dyDescent="0.2"/>
  <cols>
    <col min="1" max="1" width="15.42578125" style="3" customWidth="1"/>
    <col min="2" max="2" width="12" style="3" customWidth="1"/>
    <col min="3" max="16384" width="9.140625" style="3"/>
  </cols>
  <sheetData>
    <row r="1" spans="1:9" x14ac:dyDescent="0.2">
      <c r="A1" s="2" t="s">
        <v>23</v>
      </c>
    </row>
    <row r="3" spans="1:9" ht="15.75" customHeight="1" x14ac:dyDescent="0.2"/>
    <row r="4" spans="1:9" ht="12.75" customHeight="1" x14ac:dyDescent="0.2"/>
    <row r="7" spans="1:9" x14ac:dyDescent="0.2">
      <c r="B7" s="2" t="s">
        <v>2</v>
      </c>
      <c r="C7" s="2" t="s">
        <v>3</v>
      </c>
      <c r="D7" s="2" t="s">
        <v>4</v>
      </c>
      <c r="E7" s="2" t="s">
        <v>5</v>
      </c>
      <c r="F7" s="2" t="s">
        <v>6</v>
      </c>
      <c r="G7" s="2" t="s">
        <v>7</v>
      </c>
      <c r="H7" s="2" t="s">
        <v>8</v>
      </c>
      <c r="I7" s="2" t="s">
        <v>21</v>
      </c>
    </row>
  </sheetData>
  <phoneticPr fontId="23" type="noConversion"/>
  <pageMargins left="0.75" right="0.75" top="1" bottom="1" header="0.5" footer="0.5"/>
  <pageSetup paperSize="9" orientation="portrait" verticalDpi="0"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1"/>
  <dimension ref="A1:R7"/>
  <sheetViews>
    <sheetView workbookViewId="0"/>
  </sheetViews>
  <sheetFormatPr defaultColWidth="9.140625" defaultRowHeight="11.25" x14ac:dyDescent="0.2"/>
  <cols>
    <col min="1" max="1" width="14.85546875" style="3" customWidth="1"/>
    <col min="2" max="2" width="12" style="3" customWidth="1"/>
    <col min="3" max="3" width="9.140625" style="3"/>
    <col min="4" max="4" width="9.28515625" style="3" customWidth="1"/>
    <col min="5" max="8" width="9.140625" style="3"/>
    <col min="9" max="9" width="7.42578125" style="3" customWidth="1"/>
    <col min="10" max="16384" width="9.140625" style="3"/>
  </cols>
  <sheetData>
    <row r="1" spans="1:18" x14ac:dyDescent="0.2">
      <c r="A1" s="2" t="s">
        <v>108</v>
      </c>
    </row>
    <row r="3" spans="1:18" ht="15" customHeight="1" x14ac:dyDescent="0.2"/>
    <row r="7" spans="1:18" ht="22.5" customHeight="1" x14ac:dyDescent="0.2">
      <c r="B7" s="2" t="s">
        <v>2</v>
      </c>
      <c r="C7" s="2" t="s">
        <v>3</v>
      </c>
      <c r="D7" s="2" t="s">
        <v>4</v>
      </c>
      <c r="E7" s="2" t="s">
        <v>5</v>
      </c>
      <c r="F7" s="2" t="s">
        <v>6</v>
      </c>
      <c r="G7" s="2" t="s">
        <v>7</v>
      </c>
      <c r="H7" s="2" t="s">
        <v>8</v>
      </c>
      <c r="I7" s="6" t="s">
        <v>22</v>
      </c>
      <c r="J7" s="2"/>
      <c r="K7" s="2"/>
      <c r="L7" s="2"/>
      <c r="M7" s="2"/>
      <c r="N7" s="2"/>
      <c r="O7" s="2"/>
      <c r="P7" s="2"/>
      <c r="Q7" s="2"/>
      <c r="R7" s="2"/>
    </row>
  </sheetData>
  <phoneticPr fontId="23" type="noConversion"/>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2"/>
  <dimension ref="A1:S9"/>
  <sheetViews>
    <sheetView workbookViewId="0"/>
  </sheetViews>
  <sheetFormatPr defaultColWidth="9.140625" defaultRowHeight="11.25" x14ac:dyDescent="0.2"/>
  <cols>
    <col min="1" max="1" width="12.7109375" style="3" customWidth="1"/>
    <col min="2" max="2" width="11.42578125" style="3" customWidth="1"/>
    <col min="3" max="3" width="11.85546875" style="3" customWidth="1"/>
    <col min="4" max="4" width="9.42578125" style="3" customWidth="1"/>
    <col min="5" max="5" width="9.28515625" style="3" customWidth="1"/>
    <col min="6" max="9" width="9.140625" style="3"/>
    <col min="10" max="10" width="7.140625" style="3" customWidth="1"/>
    <col min="11" max="16384" width="9.140625" style="3"/>
  </cols>
  <sheetData>
    <row r="1" spans="1:19" x14ac:dyDescent="0.2">
      <c r="A1" s="2" t="s">
        <v>11</v>
      </c>
    </row>
    <row r="3" spans="1:19" ht="18.75" customHeight="1" x14ac:dyDescent="0.2"/>
    <row r="7" spans="1:19" x14ac:dyDescent="0.2">
      <c r="A7" s="2" t="s">
        <v>16</v>
      </c>
      <c r="B7" s="2" t="s">
        <v>24</v>
      </c>
      <c r="C7" s="2" t="s">
        <v>2</v>
      </c>
      <c r="D7" s="2" t="s">
        <v>3</v>
      </c>
      <c r="E7" s="2" t="s">
        <v>4</v>
      </c>
      <c r="F7" s="2" t="s">
        <v>5</v>
      </c>
      <c r="G7" s="2" t="s">
        <v>6</v>
      </c>
      <c r="H7" s="2" t="s">
        <v>7</v>
      </c>
      <c r="I7" s="2" t="s">
        <v>8</v>
      </c>
      <c r="J7" s="2" t="s">
        <v>9</v>
      </c>
      <c r="K7" s="2"/>
      <c r="L7" s="2"/>
      <c r="M7" s="2"/>
      <c r="N7" s="2"/>
      <c r="O7" s="2"/>
      <c r="P7" s="2"/>
      <c r="Q7" s="2"/>
      <c r="R7" s="2"/>
      <c r="S7" s="2"/>
    </row>
    <row r="9" spans="1:19" x14ac:dyDescent="0.2">
      <c r="A9" s="2" t="s">
        <v>113</v>
      </c>
    </row>
  </sheetData>
  <phoneticPr fontId="23" type="noConversion"/>
  <pageMargins left="0.75" right="0.75" top="1" bottom="1" header="0.5" footer="0.5"/>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3"/>
  <dimension ref="A1:J9"/>
  <sheetViews>
    <sheetView workbookViewId="0"/>
  </sheetViews>
  <sheetFormatPr defaultColWidth="9.140625" defaultRowHeight="11.25" x14ac:dyDescent="0.2"/>
  <cols>
    <col min="1" max="1" width="13.140625" style="3" customWidth="1"/>
    <col min="2" max="2" width="10.7109375" style="3" customWidth="1"/>
    <col min="3" max="3" width="11.85546875" style="3" customWidth="1"/>
    <col min="4" max="4" width="9.42578125" style="3" customWidth="1"/>
    <col min="5" max="5" width="9.28515625" style="3" customWidth="1"/>
    <col min="6" max="16384" width="9.140625" style="3"/>
  </cols>
  <sheetData>
    <row r="1" spans="1:10" x14ac:dyDescent="0.2">
      <c r="A1" s="2" t="s">
        <v>12</v>
      </c>
    </row>
    <row r="3" spans="1:10" ht="15.75" customHeight="1" x14ac:dyDescent="0.2"/>
    <row r="7" spans="1:10" x14ac:dyDescent="0.2">
      <c r="A7" s="2" t="s">
        <v>16</v>
      </c>
      <c r="B7" s="2" t="s">
        <v>24</v>
      </c>
      <c r="C7" s="2" t="s">
        <v>2</v>
      </c>
      <c r="D7" s="2" t="s">
        <v>3</v>
      </c>
      <c r="E7" s="2" t="s">
        <v>4</v>
      </c>
      <c r="F7" s="2" t="s">
        <v>5</v>
      </c>
      <c r="G7" s="2" t="s">
        <v>6</v>
      </c>
      <c r="H7" s="2" t="s">
        <v>7</v>
      </c>
      <c r="I7" s="2" t="s">
        <v>8</v>
      </c>
      <c r="J7" s="2" t="s">
        <v>21</v>
      </c>
    </row>
    <row r="9" spans="1:10" x14ac:dyDescent="0.2">
      <c r="A9" s="2" t="s">
        <v>112</v>
      </c>
    </row>
  </sheetData>
  <phoneticPr fontId="23" type="noConversion"/>
  <pageMargins left="0.75" right="0.75" top="1" bottom="1" header="0.5" footer="0.5"/>
  <pageSetup paperSize="9" orientation="portrait" verticalDpi="0"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4"/>
  <dimension ref="A1:S9"/>
  <sheetViews>
    <sheetView workbookViewId="0"/>
  </sheetViews>
  <sheetFormatPr defaultColWidth="9.140625" defaultRowHeight="13.5" customHeight="1" x14ac:dyDescent="0.2"/>
  <cols>
    <col min="1" max="1" width="12.42578125" style="3" customWidth="1"/>
    <col min="2" max="2" width="9.140625" style="3"/>
    <col min="3" max="3" width="12.28515625" style="3" customWidth="1"/>
    <col min="4" max="9" width="9.140625" style="3"/>
    <col min="10" max="10" width="7.42578125" style="3" customWidth="1"/>
    <col min="11" max="16384" width="9.140625" style="3"/>
  </cols>
  <sheetData>
    <row r="1" spans="1:19" ht="13.5" customHeight="1" x14ac:dyDescent="0.2">
      <c r="A1" s="2" t="s">
        <v>109</v>
      </c>
    </row>
    <row r="3" spans="1:19" ht="20.25" customHeight="1" x14ac:dyDescent="0.2"/>
    <row r="7" spans="1:19" ht="23.25" customHeight="1" x14ac:dyDescent="0.2">
      <c r="A7" s="2" t="s">
        <v>16</v>
      </c>
      <c r="B7" s="2" t="s">
        <v>24</v>
      </c>
      <c r="C7" s="2" t="s">
        <v>2</v>
      </c>
      <c r="D7" s="2" t="s">
        <v>3</v>
      </c>
      <c r="E7" s="2" t="s">
        <v>4</v>
      </c>
      <c r="F7" s="2" t="s">
        <v>5</v>
      </c>
      <c r="G7" s="2" t="s">
        <v>6</v>
      </c>
      <c r="H7" s="2" t="s">
        <v>7</v>
      </c>
      <c r="I7" s="2" t="s">
        <v>8</v>
      </c>
      <c r="J7" s="6" t="s">
        <v>22</v>
      </c>
      <c r="K7" s="2"/>
      <c r="L7" s="2"/>
      <c r="M7" s="2"/>
      <c r="N7" s="2"/>
      <c r="O7" s="2"/>
      <c r="P7" s="2"/>
      <c r="Q7" s="2"/>
      <c r="R7" s="2"/>
      <c r="S7" s="2"/>
    </row>
    <row r="9" spans="1:19" ht="13.5" customHeight="1" x14ac:dyDescent="0.2">
      <c r="A9" s="2" t="s">
        <v>111</v>
      </c>
    </row>
  </sheetData>
  <phoneticPr fontId="23" type="noConversion"/>
  <pageMargins left="0.75" right="0.75" top="1" bottom="1" header="0.5" footer="0.5"/>
  <pageSetup paperSize="9" orientation="portrait" verticalDpi="0"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Index</vt:lpstr>
      <vt:lpstr>Assumptions</vt:lpstr>
      <vt:lpstr>Processes</vt:lpstr>
      <vt:lpstr>Commodities</vt:lpstr>
      <vt:lpstr>tables for reports</vt:lpstr>
      <vt:lpstr>ProcDataGenPre2012</vt:lpstr>
      <vt:lpstr>ProcDataGen2012On</vt:lpstr>
      <vt:lpstr>ProcDataRECostProfiles</vt:lpstr>
      <vt:lpstr>ProcDataTnD</vt:lpstr>
      <vt:lpstr>ProcDataExports</vt:lpstr>
      <vt:lpstr>ProcDataMines</vt:lpstr>
      <vt:lpstr>CommData</vt:lpstr>
      <vt:lpstr>ProcDataRM</vt:lpstr>
      <vt:lpstr>ProcDataAux</vt:lpstr>
      <vt:lpstr>ProcDataLowEAF</vt:lpstr>
      <vt:lpstr>ProcDataEndoRetire</vt:lpstr>
      <vt:lpstr>ProcDataRampRates</vt:lpstr>
      <vt:lpstr>JETPsep22</vt:lpstr>
      <vt:lpstr>EskomCoalPrice2019</vt:lpstr>
      <vt:lpstr>eskom production 2009-YTD</vt:lpstr>
      <vt:lpstr>eskom fuel 2009-YTD</vt:lpstr>
      <vt:lpstr>HistoricalDispatch</vt:lpstr>
      <vt:lpstr>DecomSchedule</vt:lpstr>
      <vt:lpstr>NERSA2017</vt:lpstr>
      <vt:lpstr>NERSA2018</vt:lpstr>
      <vt:lpstr>EskomCoalNERSACombined</vt:lpstr>
      <vt:lpstr>RMIPPPP</vt:lpstr>
      <vt:lpstr>REIPPP</vt:lpstr>
      <vt:lpstr>OnsitePV</vt:lpstr>
      <vt:lpstr>IRP Costs</vt:lpstr>
      <vt:lpstr>PumpStorage</vt:lpstr>
      <vt:lpstr>NBI_NREL_etc</vt:lpstr>
      <vt:lpstr>CoalIPP</vt:lpstr>
      <vt:lpstr>FGD costs</vt:lpstr>
      <vt:lpstr>PWR_Lab</vt:lpstr>
      <vt:lpstr>Lab.Calcs.Assumptions</vt:lpstr>
      <vt:lpstr>SAM</vt:lpstr>
      <vt:lpstr>SAM2019</vt:lpstr>
      <vt:lpstr>From SAM</vt:lpstr>
      <vt:lpstr>ElecBY</vt:lpstr>
      <vt:lpstr>Deflator</vt:lpstr>
    </vt:vector>
  </TitlesOfParts>
  <Company>Noble-Soft Systems Pty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 Ken Noble</dc:creator>
  <cp:lastModifiedBy>Bruno Merven</cp:lastModifiedBy>
  <cp:lastPrinted>2005-06-23T04:07:43Z</cp:lastPrinted>
  <dcterms:created xsi:type="dcterms:W3CDTF">2005-05-01T12:39:10Z</dcterms:created>
  <dcterms:modified xsi:type="dcterms:W3CDTF">2024-02-12T08:59:44Z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713de5e5-8630-4467-b717-77e01c35d4d4</vt:lpwstr>
  </property>
  <property fmtid="{D5CDD505-2E9C-101B-9397-08002B2CF9AE}" pid="3" name="SaveCode">
    <vt:r8>568371057510375</vt:r8>
  </property>
</Properties>
</file>